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CE326E22-9C9C-48E2-8060-4CE709C9D970}" xr6:coauthVersionLast="47" xr6:coauthVersionMax="47" xr10:uidLastSave="{00000000-0000-0000-0000-000000000000}"/>
  <bookViews>
    <workbookView xWindow="-108" yWindow="-108" windowWidth="23256" windowHeight="12456" tabRatio="743" xr2:uid="{6C21348A-B421-446B-B383-9C06E1AB23AC}"/>
  </bookViews>
  <sheets>
    <sheet name="Management Summary" sheetId="47" r:id="rId1"/>
    <sheet name="Data 1" sheetId="1" r:id="rId2"/>
    <sheet name="11" sheetId="2" r:id="rId3"/>
    <sheet name="12" sheetId="3" r:id="rId4"/>
    <sheet name="13" sheetId="4" r:id="rId5"/>
    <sheet name="14" sheetId="5" r:id="rId6"/>
    <sheet name="15" sheetId="6" r:id="rId7"/>
    <sheet name="16" sheetId="7" r:id="rId8"/>
    <sheet name="17" sheetId="8" r:id="rId9"/>
    <sheet name="18" sheetId="9" r:id="rId10"/>
    <sheet name="19" sheetId="10" r:id="rId11"/>
    <sheet name="20" sheetId="12" r:id="rId12"/>
    <sheet name="21" sheetId="11" r:id="rId13"/>
    <sheet name="22" sheetId="13" r:id="rId14"/>
    <sheet name="23" sheetId="14" r:id="rId15"/>
    <sheet name="24" sheetId="15" r:id="rId16"/>
    <sheet name="25" sheetId="16" r:id="rId17"/>
    <sheet name="26" sheetId="17" r:id="rId18"/>
    <sheet name="27" sheetId="18" r:id="rId19"/>
    <sheet name="28" sheetId="19" r:id="rId20"/>
    <sheet name="29" sheetId="20" r:id="rId21"/>
    <sheet name="30" sheetId="21" r:id="rId22"/>
    <sheet name="31" sheetId="22" r:id="rId23"/>
    <sheet name="32" sheetId="23" r:id="rId24"/>
    <sheet name="33" sheetId="24" r:id="rId25"/>
    <sheet name="34" sheetId="25" r:id="rId26"/>
    <sheet name="35" sheetId="26" r:id="rId27"/>
    <sheet name="36" sheetId="27" r:id="rId28"/>
    <sheet name="37" sheetId="28" r:id="rId29"/>
    <sheet name="38" sheetId="29" r:id="rId30"/>
    <sheet name="39" sheetId="30" r:id="rId31"/>
    <sheet name="40" sheetId="31" r:id="rId32"/>
    <sheet name="Product Comparison" sheetId="46" r:id="rId33"/>
    <sheet name="41" sheetId="32" r:id="rId34"/>
    <sheet name="42" sheetId="33" r:id="rId35"/>
    <sheet name="43" sheetId="34" r:id="rId36"/>
    <sheet name="28 (3)" sheetId="35" r:id="rId37"/>
    <sheet name="29 (3)" sheetId="36" r:id="rId38"/>
    <sheet name="30 (3)" sheetId="37" r:id="rId39"/>
    <sheet name="23 (4)" sheetId="38" r:id="rId40"/>
    <sheet name="24 (4)" sheetId="39" r:id="rId41"/>
    <sheet name="25 (4)" sheetId="40" r:id="rId42"/>
    <sheet name="26 (4)" sheetId="41" r:id="rId43"/>
    <sheet name="27 (4)" sheetId="42" r:id="rId44"/>
    <sheet name="28 (4)" sheetId="43" r:id="rId45"/>
    <sheet name="29 (4)" sheetId="44" r:id="rId46"/>
    <sheet name="30 (4)" sheetId="45" r:id="rId47"/>
  </sheets>
  <definedNames>
    <definedName name="_xlnm._FilterDatabase" localSheetId="30" hidden="1">'39'!$A$1:$J$41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47" l="1"/>
  <c r="C15" i="47"/>
  <c r="D14" i="47"/>
  <c r="C14" i="47"/>
  <c r="D13" i="47"/>
  <c r="C13" i="47"/>
  <c r="N7" i="47"/>
  <c r="N6" i="47"/>
  <c r="N5" i="47"/>
  <c r="N4" i="47"/>
  <c r="N3" i="47"/>
  <c r="N2" i="47"/>
  <c r="J2" i="47"/>
  <c r="J3" i="47"/>
  <c r="J4" i="47"/>
  <c r="J5" i="47"/>
  <c r="J6" i="47" a="1"/>
  <c r="J7" i="47"/>
  <c r="J8" i="47"/>
  <c r="J9" i="47"/>
  <c r="J10" i="47"/>
  <c r="J11" i="47"/>
  <c r="J12" i="47"/>
  <c r="J13" i="47"/>
  <c r="J16" i="47"/>
  <c r="K16" i="47"/>
  <c r="L16" i="47"/>
  <c r="J17" i="47"/>
  <c r="K17" i="47"/>
  <c r="L17" i="47"/>
  <c r="J18" i="47"/>
  <c r="K18" i="47"/>
  <c r="L18" i="47"/>
  <c r="J19" i="47"/>
  <c r="K19" i="47"/>
  <c r="L19" i="47"/>
  <c r="J22" i="47"/>
  <c r="J23" i="47"/>
  <c r="J24" i="47"/>
  <c r="J25" i="47"/>
  <c r="J26" i="47"/>
  <c r="B9" i="47"/>
  <c r="B8" i="47"/>
  <c r="B7" i="47"/>
  <c r="B6" i="47"/>
  <c r="B5" i="47"/>
  <c r="P9" i="32"/>
  <c r="P8" i="32"/>
  <c r="P7" i="32"/>
  <c r="P4" i="32"/>
  <c r="P3" i="32"/>
  <c r="M41" i="32"/>
  <c r="M40" i="32"/>
  <c r="M39" i="32"/>
  <c r="M38" i="32"/>
  <c r="M37" i="32"/>
  <c r="M36" i="32"/>
  <c r="M35" i="32"/>
  <c r="M34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M19" i="32"/>
  <c r="M18" i="32"/>
  <c r="M17" i="32"/>
  <c r="M16" i="32"/>
  <c r="M15" i="32"/>
  <c r="M14" i="32"/>
  <c r="M13" i="32"/>
  <c r="M12" i="32"/>
  <c r="M11" i="32"/>
  <c r="M10" i="32"/>
  <c r="M9" i="32"/>
  <c r="M8" i="32"/>
  <c r="M7" i="32"/>
  <c r="M6" i="32"/>
  <c r="M5" i="32"/>
  <c r="M4" i="32"/>
  <c r="M3" i="32"/>
  <c r="M2" i="32"/>
  <c r="L41" i="32"/>
  <c r="L40" i="32"/>
  <c r="L39" i="32"/>
  <c r="L38" i="32"/>
  <c r="L37" i="32"/>
  <c r="L36" i="32"/>
  <c r="L35" i="32"/>
  <c r="L34" i="32"/>
  <c r="L33" i="32"/>
  <c r="L32" i="32"/>
  <c r="L31" i="32"/>
  <c r="L30" i="32"/>
  <c r="L29" i="32"/>
  <c r="L28" i="32"/>
  <c r="L27" i="32"/>
  <c r="L26" i="32"/>
  <c r="L25" i="32"/>
  <c r="L24" i="32"/>
  <c r="L23" i="32"/>
  <c r="L22" i="32"/>
  <c r="L21" i="32"/>
  <c r="L20" i="32"/>
  <c r="L19" i="32"/>
  <c r="L18" i="32"/>
  <c r="L17" i="32"/>
  <c r="L16" i="32"/>
  <c r="L15" i="32"/>
  <c r="L14" i="32"/>
  <c r="L13" i="32"/>
  <c r="L12" i="32"/>
  <c r="L11" i="32"/>
  <c r="L10" i="32"/>
  <c r="L9" i="32"/>
  <c r="L8" i="32"/>
  <c r="L7" i="32"/>
  <c r="L6" i="32"/>
  <c r="L5" i="32"/>
  <c r="L4" i="32"/>
  <c r="L3" i="32"/>
  <c r="L2" i="32"/>
  <c r="K41" i="32"/>
  <c r="K40" i="32"/>
  <c r="K39" i="32"/>
  <c r="K38" i="32"/>
  <c r="K37" i="32"/>
  <c r="K36" i="32"/>
  <c r="K35" i="32"/>
  <c r="K34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K18" i="32"/>
  <c r="K17" i="32"/>
  <c r="K16" i="32"/>
  <c r="K15" i="32"/>
  <c r="K14" i="32"/>
  <c r="K13" i="32"/>
  <c r="K12" i="32"/>
  <c r="K11" i="32"/>
  <c r="K10" i="32"/>
  <c r="K9" i="32"/>
  <c r="K8" i="32"/>
  <c r="K7" i="32"/>
  <c r="K6" i="32"/>
  <c r="K5" i="32"/>
  <c r="K4" i="32"/>
  <c r="K3" i="32"/>
  <c r="K2" i="32"/>
  <c r="A14" i="46"/>
  <c r="A13" i="46"/>
  <c r="A12" i="46"/>
  <c r="F9" i="46"/>
  <c r="E9" i="46"/>
  <c r="D9" i="46"/>
  <c r="C9" i="46"/>
  <c r="B9" i="46"/>
  <c r="F8" i="46"/>
  <c r="F7" i="46"/>
  <c r="F6" i="46"/>
  <c r="F5" i="46"/>
  <c r="E8" i="46"/>
  <c r="E7" i="46"/>
  <c r="E6" i="46"/>
  <c r="E5" i="46"/>
  <c r="D8" i="46"/>
  <c r="D7" i="46"/>
  <c r="D6" i="46"/>
  <c r="D5" i="46"/>
  <c r="C8" i="46"/>
  <c r="C7" i="46"/>
  <c r="C6" i="46"/>
  <c r="C5" i="46"/>
  <c r="B8" i="46"/>
  <c r="B7" i="46"/>
  <c r="B6" i="46"/>
  <c r="B5" i="46"/>
  <c r="O13" i="30" a="1"/>
  <c r="O12" i="30" a="1"/>
  <c r="O11" i="30" a="1"/>
  <c r="O10" i="30" a="1"/>
  <c r="O9" i="30" a="1"/>
  <c r="O8" i="30" a="1"/>
  <c r="O7" i="30" a="1"/>
  <c r="O6" i="30" a="1"/>
  <c r="O5" i="30" a="1"/>
  <c r="O4" i="30" a="1"/>
  <c r="O3" i="30" a="1"/>
  <c r="O2" i="30" a="1"/>
  <c r="N13" i="30" a="1"/>
  <c r="N12" i="30" a="1"/>
  <c r="N11" i="30" a="1"/>
  <c r="N10" i="30" a="1"/>
  <c r="N9" i="30" a="1"/>
  <c r="N8" i="30" a="1"/>
  <c r="N7" i="30" a="1"/>
  <c r="N6" i="30" a="1"/>
  <c r="N5" i="30" a="1"/>
  <c r="N4" i="30" a="1"/>
  <c r="N3" i="30" a="1"/>
  <c r="N2" i="30" a="1"/>
  <c r="M13" i="30" a="1"/>
  <c r="M12" i="30" a="1"/>
  <c r="M11" i="30" a="1"/>
  <c r="M10" i="30" a="1"/>
  <c r="M9" i="30" a="1"/>
  <c r="M8" i="30" a="1"/>
  <c r="M7" i="30" a="1"/>
  <c r="M6" i="30" a="1"/>
  <c r="M5" i="30" a="1"/>
  <c r="M4" i="30" a="1"/>
  <c r="M3" i="30" a="1"/>
  <c r="M2" i="30" a="1"/>
  <c r="A55" i="29" a="1"/>
  <c r="G52" i="29"/>
  <c r="F52" i="29"/>
  <c r="E52" i="29" a="1"/>
  <c r="D52" i="29"/>
  <c r="C52" i="29"/>
  <c r="G51" i="29"/>
  <c r="F51" i="29"/>
  <c r="E51" i="29" a="1"/>
  <c r="D51" i="29"/>
  <c r="C51" i="29"/>
  <c r="G50" i="29"/>
  <c r="F50" i="29"/>
  <c r="E50" i="29" a="1"/>
  <c r="D50" i="29"/>
  <c r="C50" i="29"/>
  <c r="G49" i="29"/>
  <c r="F49" i="29"/>
  <c r="E49" i="29" a="1"/>
  <c r="D49" i="29"/>
  <c r="C49" i="29"/>
  <c r="G48" i="29"/>
  <c r="F48" i="29"/>
  <c r="E48" i="29" a="1"/>
  <c r="D48" i="29"/>
  <c r="C48" i="29"/>
  <c r="A57" i="28"/>
  <c r="A56" i="28"/>
  <c r="A55" i="28"/>
  <c r="A54" i="28"/>
  <c r="J51" i="28"/>
  <c r="J50" i="28"/>
  <c r="J49" i="28"/>
  <c r="J48" i="28"/>
  <c r="I51" i="28"/>
  <c r="I50" i="28"/>
  <c r="I49" i="28"/>
  <c r="I48" i="28"/>
  <c r="H51" i="28"/>
  <c r="H50" i="28"/>
  <c r="H49" i="28"/>
  <c r="H48" i="28"/>
  <c r="G51" i="28"/>
  <c r="G50" i="28"/>
  <c r="G49" i="28"/>
  <c r="G48" i="28"/>
  <c r="E51" i="28"/>
  <c r="E50" i="28"/>
  <c r="E49" i="28"/>
  <c r="E48" i="28"/>
  <c r="D51" i="28"/>
  <c r="D50" i="28"/>
  <c r="D49" i="28"/>
  <c r="D48" i="28"/>
  <c r="C51" i="28"/>
  <c r="C50" i="28"/>
  <c r="C49" i="28"/>
  <c r="C48" i="28"/>
  <c r="B51" i="28"/>
  <c r="B50" i="28"/>
  <c r="B49" i="28"/>
  <c r="B48" i="28"/>
  <c r="F53" i="27"/>
  <c r="H50" i="27" a="1"/>
  <c r="H49" i="27" a="1"/>
  <c r="H48" i="27" a="1"/>
  <c r="B57" i="27"/>
  <c r="B56" i="27" a="1"/>
  <c r="B55" i="27"/>
  <c r="B54" i="27"/>
  <c r="B53" i="27"/>
  <c r="B52" i="27"/>
  <c r="B51" i="27"/>
  <c r="B50" i="27"/>
  <c r="B49" i="27"/>
  <c r="B48" i="27"/>
  <c r="A55" i="26"/>
  <c r="A54" i="26"/>
  <c r="A53" i="26"/>
  <c r="A52" i="26"/>
  <c r="A51" i="26"/>
  <c r="I48" i="26"/>
  <c r="G48" i="26"/>
  <c r="E48" i="26"/>
  <c r="C48" i="26"/>
  <c r="A48" i="26"/>
  <c r="M5" i="25"/>
  <c r="M4" i="25"/>
  <c r="M3" i="25"/>
  <c r="G49" i="24" a="1"/>
  <c r="C49" i="24"/>
  <c r="A49" i="24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N5" i="16"/>
  <c r="N4" i="16"/>
  <c r="N3" i="16"/>
  <c r="N2" i="16"/>
  <c r="M5" i="16"/>
  <c r="M4" i="16"/>
  <c r="M3" i="16"/>
  <c r="M2" i="16"/>
  <c r="N3" i="15"/>
  <c r="N2" i="15"/>
  <c r="M3" i="15"/>
  <c r="M2" i="15"/>
  <c r="M3" i="14"/>
  <c r="M2" i="14"/>
  <c r="M2" i="13" a="1"/>
  <c r="L2" i="13" a="1"/>
  <c r="N5" i="12"/>
  <c r="N4" i="12"/>
  <c r="N3" i="12"/>
  <c r="N2" i="12"/>
  <c r="M5" i="12"/>
  <c r="M4" i="12"/>
  <c r="M3" i="12"/>
  <c r="M2" i="12"/>
  <c r="N4" i="9" a="1"/>
  <c r="M4" i="9" a="1"/>
  <c r="N3" i="9" a="1"/>
  <c r="M3" i="9" a="1"/>
  <c r="M13" i="11" a="1"/>
  <c r="M12" i="11" a="1"/>
  <c r="M11" i="11" a="1"/>
  <c r="M10" i="11" a="1"/>
  <c r="M9" i="11" a="1"/>
  <c r="M8" i="11" a="1"/>
  <c r="M7" i="11" a="1"/>
  <c r="M6" i="11" a="1"/>
  <c r="M5" i="11" a="1"/>
  <c r="M4" i="11" a="1"/>
  <c r="M3" i="11" a="1"/>
  <c r="M2" i="11" a="1"/>
  <c r="M2" i="10" a="1"/>
  <c r="L2" i="10" a="1"/>
  <c r="L10" i="8" a="1"/>
  <c r="Q9" i="8"/>
  <c r="Q8" i="8"/>
  <c r="Q7" i="8"/>
  <c r="Q6" i="8"/>
  <c r="P9" i="8"/>
  <c r="P8" i="8"/>
  <c r="P7" i="8"/>
  <c r="P6" i="8"/>
  <c r="O9" i="8"/>
  <c r="O8" i="8"/>
  <c r="O7" i="8"/>
  <c r="O6" i="8"/>
  <c r="N9" i="8"/>
  <c r="N8" i="8"/>
  <c r="N7" i="8"/>
  <c r="N6" i="8"/>
  <c r="M9" i="8"/>
  <c r="M8" i="8"/>
  <c r="M7" i="8"/>
  <c r="M6" i="8"/>
  <c r="P3" i="8"/>
  <c r="N3" i="8"/>
  <c r="L3" i="8"/>
  <c r="M3" i="7" a="1"/>
  <c r="L3" i="7" a="1"/>
  <c r="A57" i="6"/>
  <c r="A56" i="6"/>
  <c r="A55" i="6"/>
  <c r="A54" i="6"/>
  <c r="J51" i="6"/>
  <c r="J50" i="6"/>
  <c r="J49" i="6"/>
  <c r="J48" i="6"/>
  <c r="I51" i="6"/>
  <c r="I50" i="6"/>
  <c r="I49" i="6"/>
  <c r="I48" i="6"/>
  <c r="H51" i="6"/>
  <c r="H50" i="6"/>
  <c r="H49" i="6"/>
  <c r="H48" i="6"/>
  <c r="G51" i="6"/>
  <c r="G50" i="6"/>
  <c r="G49" i="6"/>
  <c r="G48" i="6"/>
  <c r="F51" i="6"/>
  <c r="F50" i="6"/>
  <c r="F49" i="6"/>
  <c r="F48" i="6"/>
  <c r="E51" i="6"/>
  <c r="E50" i="6"/>
  <c r="E49" i="6"/>
  <c r="E48" i="6"/>
  <c r="D51" i="6"/>
  <c r="D50" i="6"/>
  <c r="D49" i="6"/>
  <c r="D48" i="6"/>
  <c r="C51" i="6"/>
  <c r="C50" i="6"/>
  <c r="C49" i="6"/>
  <c r="C48" i="6"/>
  <c r="D54" i="5"/>
  <c r="D53" i="5"/>
  <c r="D52" i="5"/>
  <c r="D51" i="5"/>
  <c r="A61" i="4" a="1"/>
  <c r="A60" i="4"/>
  <c r="A59" i="4"/>
  <c r="A58" i="4"/>
  <c r="A57" i="4" a="1"/>
  <c r="J54" i="4"/>
  <c r="J53" i="4"/>
  <c r="J52" i="4"/>
  <c r="J51" i="4"/>
  <c r="I54" i="4"/>
  <c r="I53" i="4"/>
  <c r="I52" i="4"/>
  <c r="I51" i="4"/>
  <c r="H54" i="4"/>
  <c r="H53" i="4"/>
  <c r="H52" i="4"/>
  <c r="H51" i="4"/>
  <c r="G54" i="4"/>
  <c r="G53" i="4"/>
  <c r="G52" i="4"/>
  <c r="G51" i="4"/>
  <c r="E54" i="4"/>
  <c r="E53" i="4"/>
  <c r="E52" i="4"/>
  <c r="E51" i="4"/>
  <c r="D54" i="4"/>
  <c r="D53" i="4"/>
  <c r="D52" i="4"/>
  <c r="D51" i="4"/>
  <c r="C54" i="4"/>
  <c r="C53" i="4"/>
  <c r="C52" i="4"/>
  <c r="C51" i="4"/>
  <c r="B54" i="4"/>
  <c r="B53" i="4"/>
  <c r="B52" i="4"/>
  <c r="B51" i="4"/>
  <c r="I48" i="4" a="1"/>
  <c r="G48" i="4"/>
  <c r="E48" i="4"/>
  <c r="C48" i="4"/>
  <c r="A48" i="4"/>
  <c r="M2" i="3"/>
  <c r="L2" i="3" a="1"/>
  <c r="M2" i="2"/>
  <c r="L2" i="2" a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<sst xmlns="http://schemas.openxmlformats.org/spreadsheetml/2006/main" count="7953" uniqueCount="296">
  <si>
    <t>Date</t>
  </si>
  <si>
    <t>Product</t>
  </si>
  <si>
    <t>Region</t>
  </si>
  <si>
    <t>Sales</t>
  </si>
  <si>
    <t>Profit</t>
  </si>
  <si>
    <t>Target Sales</t>
  </si>
  <si>
    <t>Previous Year Sales</t>
  </si>
  <si>
    <t>Laptop</t>
  </si>
  <si>
    <t>North</t>
  </si>
  <si>
    <t>Monitor</t>
  </si>
  <si>
    <t>South</t>
  </si>
  <si>
    <t>Keyboard</t>
  </si>
  <si>
    <t>East</t>
  </si>
  <si>
    <t>Mouse</t>
  </si>
  <si>
    <t>West</t>
  </si>
  <si>
    <t>Total Sales</t>
  </si>
  <si>
    <t>Average Sales</t>
  </si>
  <si>
    <t>Target Status</t>
  </si>
  <si>
    <t>Customer</t>
  </si>
  <si>
    <t>Category</t>
  </si>
  <si>
    <t>Orders</t>
  </si>
  <si>
    <t>ABC Retail</t>
  </si>
  <si>
    <t>Electronics</t>
  </si>
  <si>
    <t>Global Stores</t>
  </si>
  <si>
    <t>Prime Mart</t>
  </si>
  <si>
    <t>Accessories</t>
  </si>
  <si>
    <t>Tech World</t>
  </si>
  <si>
    <t>City Electronics</t>
  </si>
  <si>
    <t>Top Product</t>
  </si>
  <si>
    <t>Lowest Avg. Product</t>
  </si>
  <si>
    <t>SALES TREND ANALYSIS</t>
  </si>
  <si>
    <t>All 40 records | product, region, target, growth, margin and order patterns</t>
  </si>
  <si>
    <t>TOTAL SALES</t>
  </si>
  <si>
    <t>PROFIT MARGIN</t>
  </si>
  <si>
    <t>VS PRIOR YEAR</t>
  </si>
  <si>
    <t>VS TARGET</t>
  </si>
  <si>
    <t>RECORDS ABOVE TARGET</t>
  </si>
  <si>
    <t>Share</t>
  </si>
  <si>
    <t>Vs Target</t>
  </si>
  <si>
    <t>YoY</t>
  </si>
  <si>
    <t>Sales / Order</t>
  </si>
  <si>
    <t>KEY FINDINGS</t>
  </si>
  <si>
    <t>ANOMALY REVIEW</t>
  </si>
  <si>
    <t>Full 40-record scan using IQR outlier tests plus chronology, margin, target and structural checks</t>
  </si>
  <si>
    <t>BOTTOM LINE</t>
  </si>
  <si>
    <t>No major statistical outliers were found. One Mouse record is a borderline low sales-per-order outlier; the dataset also contains a year-order break and highly uniform margin/customer-region patterns that merit review.</t>
  </si>
  <si>
    <t>Priority</t>
  </si>
  <si>
    <t>Check</t>
  </si>
  <si>
    <t>Location</t>
  </si>
  <si>
    <t>Observed</t>
  </si>
  <si>
    <t>Benchmark</t>
  </si>
  <si>
    <t>Why it is unusual</t>
  </si>
  <si>
    <t>Review</t>
  </si>
  <si>
    <t>Efficiency outlier</t>
  </si>
  <si>
    <t>14'!F13/J13</t>
  </si>
  <si>
    <t>Mouse lower fence: 62.2</t>
  </si>
  <si>
    <t>Date sequence</t>
  </si>
  <si>
    <t>14'!A30</t>
  </si>
  <si>
    <t>Previous row: 18-Dec-26</t>
  </si>
  <si>
    <t>Watch</t>
  </si>
  <si>
    <t>Largest target beat</t>
  </si>
  <si>
    <t>14'!F4/H4</t>
  </si>
  <si>
    <t>Dataset IQR upper fence: 22.1%</t>
  </si>
  <si>
    <t>Largest YoY increase</t>
  </si>
  <si>
    <t>14'!F25/I25</t>
  </si>
  <si>
    <t>Dataset IQR upper fence: 29.5%</t>
  </si>
  <si>
    <t>Pattern</t>
  </si>
  <si>
    <t>Fixed margins</t>
  </si>
  <si>
    <t>14'!G2:G41</t>
  </si>
  <si>
    <t>20% / 25%</t>
  </si>
  <si>
    <t>No within-category variation</t>
  </si>
  <si>
    <t>Concentrated segment</t>
  </si>
  <si>
    <t>14'!B5:E41</t>
  </si>
  <si>
    <t>Mouse = Tech World / West</t>
  </si>
  <si>
    <t>10 of 10 Mouse records</t>
  </si>
  <si>
    <t>Borderline low efficiency: 2,600 sales across 42 orders equals 61.9 per order, just below the Mouse-specific IQR lower fence of 62.2.</t>
  </si>
  <si>
    <t>The table lists 2026 first, then jumps backward to 2025 at row 30. This is not a bad date, but it can distort trend charts or running calculations unless sorted.</t>
  </si>
  <si>
    <t>Keyboard sales are 16.7% above target—the largest target beat—but still within the dataset’s normal IQR range, so it is notable rather than a statistical outlier.</t>
  </si>
  <si>
    <t>Mouse sales are 22.6% above previous-year sales—the largest YoY increase—but remain below the 29.5% IQR outlier threshold.</t>
  </si>
  <si>
    <t>Every Electronics row has exactly a 20% margin and every Accessories row exactly 25%. This may be intentional pricing logic, but zero variation is unusually uniform for observed results.</t>
  </si>
  <si>
    <t>All 10 Mouse records belong to Tech World in the West region. Product, customer and region are therefore confounded, limiting conclusions about what drives Mouse performance.</t>
  </si>
  <si>
    <t>REGIONAL SALES PERFORMANCE</t>
  </si>
  <si>
    <t>Comparison of all 40 records by sales, profitability, target attainment, growth and order efficiency</t>
  </si>
  <si>
    <t>Rank</t>
  </si>
  <si>
    <t>Margin</t>
  </si>
  <si>
    <t>YoY Growth</t>
  </si>
  <si>
    <t>TOP CUSTOMERS BY TOTAL REVENUE</t>
  </si>
  <si>
    <t>Total Revenue</t>
  </si>
  <si>
    <t>ACTUAL SALES VS TARGET</t>
  </si>
  <si>
    <t>ACTUAL SALES</t>
  </si>
  <si>
    <t>TARGET SALES</t>
  </si>
  <si>
    <t>VARIANCE</t>
  </si>
  <si>
    <t>Actual Sales</t>
  </si>
  <si>
    <t>Variance</t>
  </si>
  <si>
    <t>Variance %</t>
  </si>
  <si>
    <t>Status</t>
  </si>
  <si>
    <t>Month</t>
  </si>
  <si>
    <t>Total Profit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</si>
  <si>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</si>
  <si>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</si>
  <si>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</si>
  <si>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</si>
  <si>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</si>
  <si>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</si>
  <si>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</si>
  <si>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</si>
  <si>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</si>
  <si>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</si>
  <si>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</si>
  <si>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</si>
  <si>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2025 MONTHLY REVENUE EXTREMES</t>
  </si>
  <si>
    <t>Measure</t>
  </si>
  <si>
    <t>Revenue</t>
  </si>
  <si>
    <t>Formula Basis</t>
  </si>
  <si>
    <t>Highest</t>
  </si>
  <si>
    <t>Lowest</t>
  </si>
  <si>
    <t>SUM of Sales for month</t>
  </si>
  <si>
    <t>% of Total</t>
  </si>
  <si>
    <t>RECOMMENDATION</t>
  </si>
  <si>
    <t>Use a clustered bar chart of Actual vs Target by Product. It combines the two key questions—where sales come from and whether each product met plan—without mixing incompatible units.</t>
  </si>
  <si>
    <t>Duplicate Status</t>
  </si>
  <si>
    <t>TECH WORLD</t>
  </si>
  <si>
    <t>Cell</t>
  </si>
  <si>
    <t>Current Value</t>
  </si>
  <si>
    <t>Likely Correction</t>
  </si>
  <si>
    <t>Reason</t>
  </si>
  <si>
    <t>H6</t>
  </si>
  <si>
    <t>10× higher than the expected target pattern</t>
  </si>
  <si>
    <t>H15</t>
  </si>
  <si>
    <t>100× higher than the expected target pattern</t>
  </si>
  <si>
    <t>Tch World</t>
  </si>
  <si>
    <t>City Elec</t>
  </si>
  <si>
    <t>City    Electronics</t>
  </si>
  <si>
    <t xml:space="preserve">   Global Stores</t>
  </si>
  <si>
    <t xml:space="preserve">Prime Mart  </t>
  </si>
  <si>
    <t>ABC   Retail</t>
  </si>
  <si>
    <t xml:space="preserve">Global Stores </t>
  </si>
  <si>
    <t>DATA PREPARATION PLAN</t>
  </si>
  <si>
    <t>Readiness review of all 40 records and 10 fields before reporting, charting, or statistical analysis</t>
  </si>
  <si>
    <t>READINESS SNAPSHOT</t>
  </si>
  <si>
    <t>RECORDS</t>
  </si>
  <si>
    <t>MISSING CELLS</t>
  </si>
  <si>
    <t>EXACT DUPLICATES</t>
  </si>
  <si>
    <t>DATE ORDER BREAKS</t>
  </si>
  <si>
    <t>EXCEL TABLE</t>
  </si>
  <si>
    <t>Not created</t>
  </si>
  <si>
    <t>Step</t>
  </si>
  <si>
    <t>Current finding</t>
  </si>
  <si>
    <t>Recommended action</t>
  </si>
  <si>
    <t>Expected benefit</t>
  </si>
  <si>
    <t>High</t>
  </si>
  <si>
    <t>Convert range to a table</t>
  </si>
  <si>
    <t>A1:J41 is a plain range</t>
  </si>
  <si>
    <t>Sort by Date</t>
  </si>
  <si>
    <t>2026 rows precede 2025 rows</t>
  </si>
  <si>
    <t>Confirm data grain</t>
  </si>
  <si>
    <t>One row appears to be a dated customer-product observation</t>
  </si>
  <si>
    <t>Medium</t>
  </si>
  <si>
    <t>Apply numeric formats</t>
  </si>
  <si>
    <t>Sales, Profit, Targets and Orders use General</t>
  </si>
  <si>
    <t>Add analysis fields</t>
  </si>
  <si>
    <t>No margin, variance or growth columns exist</t>
  </si>
  <si>
    <t>Add validation lists</t>
  </si>
  <si>
    <t>5 customers, 4 products, 2 categories and 4 regions</t>
  </si>
  <si>
    <t>Validate business rules</t>
  </si>
  <si>
    <t>Margins are exactly 20% or 25% in every row</t>
  </si>
  <si>
    <t>Complete</t>
  </si>
  <si>
    <t>Retain quality checks</t>
  </si>
  <si>
    <t>No blanks or exact duplicates found</t>
  </si>
  <si>
    <t>Create an Excel table with unique name and structured headers; keep all 40 rows in the table.</t>
  </si>
  <si>
    <t>Sort Date ascending before trends, running totals, or time-series charts.</t>
  </si>
  <si>
    <t>Document what one row represents and whether Orders is count, quantity, or transaction volume.</t>
  </si>
  <si>
    <t>Use d-mmm-yy for Date; #,##0 for Sales, Profit, Targets, prior-year sales, and Orders.</t>
  </si>
  <si>
    <t>Add Profit Margin = Profit/Sales, Target Variance = Sales-Target, and YoY Growth = Sales/Prior Year-1.</t>
  </si>
  <si>
    <t>Use controlled lists for Customer, Product, Category and Region to prevent spelling and casing drift.</t>
  </si>
  <si>
    <t>Confirm whether fixed category margins are intentional calculations or observed outcomes.</t>
  </si>
  <si>
    <t>Re-run missing-value and duplicate checks whenever new rows are appended.</t>
  </si>
  <si>
    <t>Reliable formulas, filters, pivots and automatic expansion</t>
  </si>
  <si>
    <t>Correct chronological comparisons</t>
  </si>
  <si>
    <t>Prevents incorrect aggregation and interpretation</t>
  </si>
  <si>
    <t>Consistent display and easier review</t>
  </si>
  <si>
    <t>Analysis-ready performance measures</t>
  </si>
  <si>
    <t>Cleaner grouping and fewer duplicate labels</t>
  </si>
  <si>
    <t>Avoids mistaking a formula rule for a discovered trend</t>
  </si>
  <si>
    <t>Maintains current data quality</t>
  </si>
  <si>
    <t>Pending</t>
  </si>
  <si>
    <t>Confirm</t>
  </si>
  <si>
    <t>Passed</t>
  </si>
  <si>
    <t>The dataset is structurally clean enough to analyze, but sorting, table conversion, explicit formats, controlled labels, and calculated performance fields should be completed first. The fixed 20%/25% margins should be confirmed as a business rule before interpreting profitability patterns.</t>
  </si>
  <si>
    <t>KEY METRICS SUMMARY</t>
  </si>
  <si>
    <t>Metric</t>
  </si>
  <si>
    <t>Total</t>
  </si>
  <si>
    <t>EXECUTIVE SUMMARY</t>
  </si>
  <si>
    <t>Sales and profitability overview across all 40 records</t>
  </si>
  <si>
    <t>TOTAL PROFIT</t>
  </si>
  <si>
    <t>EXECUTIVE ACTION</t>
  </si>
  <si>
    <t>Protect Laptop momentum, address the Monitor and North target gaps, and improve order value in Tech World/West. Maintain focus on East and South, which together contribute nearly 69% of total sales.</t>
  </si>
  <si>
    <t>KPI SCORECARD</t>
  </si>
  <si>
    <t>Core performance measures calculated from all 40 sales records</t>
  </si>
  <si>
    <t>KPI</t>
  </si>
  <si>
    <t>Value</t>
  </si>
  <si>
    <t>Why it matters</t>
  </si>
  <si>
    <t>Formula basis</t>
  </si>
  <si>
    <t>Profit Margin</t>
  </si>
  <si>
    <t>Target Variance</t>
  </si>
  <si>
    <t>Target Attainment</t>
  </si>
  <si>
    <t>YoY Sales Growth</t>
  </si>
  <si>
    <t>Total Orders</t>
  </si>
  <si>
    <t>Sales per Order</t>
  </si>
  <si>
    <t>Above-Target Rate</t>
  </si>
  <si>
    <t>Sales per Record</t>
  </si>
  <si>
    <t>Overall revenue scale</t>
  </si>
  <si>
    <t>Absolute earnings generated</t>
  </si>
  <si>
    <t>Profitability per sales unit</t>
  </si>
  <si>
    <t>Sales above or below plan</t>
  </si>
  <si>
    <t>Percentage of target achieved</t>
  </si>
  <si>
    <t>Growth versus prior-year benchmark</t>
  </si>
  <si>
    <t>Total activity volume</t>
  </si>
  <si>
    <t>Revenue efficiency per order</t>
  </si>
  <si>
    <t>Consistency of meeting plan</t>
  </si>
  <si>
    <t>Average transaction-record value</t>
  </si>
  <si>
    <t>SUM Sales</t>
  </si>
  <si>
    <t>SUM Profit</t>
  </si>
  <si>
    <t>Profit / Sales</t>
  </si>
  <si>
    <t>Sales - Target</t>
  </si>
  <si>
    <t>Sales / Target</t>
  </si>
  <si>
    <t>Sales / Prior Year - 1</t>
  </si>
  <si>
    <t>SUM Orders</t>
  </si>
  <si>
    <t>Sales / Orders</t>
  </si>
  <si>
    <t>Records above target / records</t>
  </si>
  <si>
    <t>AVERAGE Sales</t>
  </si>
  <si>
    <t>LEADING CONTRIBUTORS</t>
  </si>
  <si>
    <t>Top Customer</t>
  </si>
  <si>
    <t>Top Region</t>
  </si>
  <si>
    <t>PROFITABILITY LEADERS</t>
  </si>
  <si>
    <t>Ranked by total profit across all 40 records; margin shown for profitability efficiency</t>
  </si>
  <si>
    <t>Profit Rank</t>
  </si>
  <si>
    <t>PERFORMANCE IMPROVEMENT OPPORTUNITIES</t>
  </si>
  <si>
    <t>Prioritized using target gaps, hit rates, growth, margin, and sales-per-order across all 40 records</t>
  </si>
  <si>
    <t>Area</t>
  </si>
  <si>
    <t>Target Gap</t>
  </si>
  <si>
    <t>Hit Rate</t>
  </si>
  <si>
    <t>Growth</t>
  </si>
  <si>
    <t>Diagnosis</t>
  </si>
  <si>
    <t>Action</t>
  </si>
  <si>
    <t>West / Tech World</t>
  </si>
  <si>
    <t>Only product below target; weakest product hit rate and growth.</t>
  </si>
  <si>
    <t>Review Monitor pricing, pipeline, and weak transactions; close the 400 target gap.</t>
  </si>
  <si>
    <t>Only region below target; just 3 of 8 records beat plan.</t>
  </si>
  <si>
    <t>Replicate East’s product/customer mix and strengthen Monitor/Keyboard execution in North.</t>
  </si>
  <si>
    <t>Highest order volume but only 68.8 sales per order; low-ticket mix limits scale.</t>
  </si>
  <si>
    <t>Increase basket size through bundles, upsell, and higher-value products.</t>
  </si>
  <si>
    <t>Largest customer, but only 40% of records exceed target and growth trails leaders.</t>
  </si>
  <si>
    <t>Focus account planning on inconsistent periods while protecting its 99,000 base.</t>
  </si>
  <si>
    <t>Strong 25% margin, but sales per order are only 87.7 versus 467.5 for Electronics.</t>
  </si>
  <si>
    <t>Use margin headroom for bundles and cross-sell without eroding profitability.</t>
  </si>
  <si>
    <t>PRODUCT SALES COMPARISON: 2025 VS 2026</t>
  </si>
  <si>
    <t>All available records from `40`; totals are paired with average-per-record growth because yearly record counts differ.</t>
  </si>
  <si>
    <t>2025 Sales</t>
  </si>
  <si>
    <t>2026 Sales</t>
  </si>
  <si>
    <t>Change</t>
  </si>
  <si>
    <t>Total Growth %</t>
  </si>
  <si>
    <t>Avg/Record Growth %</t>
  </si>
  <si>
    <t>TOTAL</t>
  </si>
  <si>
    <t>Sales Variance</t>
  </si>
  <si>
    <t>Performance</t>
  </si>
  <si>
    <t>LARGEST SALES VS TARGET CHANGES</t>
  </si>
  <si>
    <t>Record</t>
  </si>
  <si>
    <t>Largest Increase</t>
  </si>
  <si>
    <t>Largest Decrease</t>
  </si>
  <si>
    <t>Record Count</t>
  </si>
  <si>
    <t>Above Target</t>
  </si>
  <si>
    <t>Below Target</t>
  </si>
  <si>
    <t>On Target</t>
  </si>
  <si>
    <t>MANAGEMENT SUMMARY</t>
  </si>
  <si>
    <t>FIVE MOST IMPORTANT FINDINGS</t>
  </si>
  <si>
    <t>Target Variance %</t>
  </si>
  <si>
    <t>Above Target Records</t>
  </si>
  <si>
    <t>YoY Variance</t>
  </si>
  <si>
    <t>YoY %</t>
  </si>
  <si>
    <t>Accessories Margin</t>
  </si>
  <si>
    <t>Electronics Margin</t>
  </si>
  <si>
    <t>Target</t>
  </si>
  <si>
    <t>Five decision-relevant findings and three actions from all 40 sales records on `43`.</t>
  </si>
  <si>
    <t>Action Metric</t>
  </si>
  <si>
    <t>Accessories Sales</t>
  </si>
  <si>
    <t>Accessories Share</t>
  </si>
  <si>
    <t>Top Two Customer Share</t>
  </si>
  <si>
    <t>Bottom Three Customer Sales</t>
  </si>
  <si>
    <t>Monitor Gap</t>
  </si>
  <si>
    <t>Sales Needed for 27% Accessories Mix</t>
  </si>
  <si>
    <t>THREE RECOMMENDED ACTIONS</t>
  </si>
  <si>
    <t>Success measure</t>
  </si>
  <si>
    <t>Recover Monitor performance</t>
  </si>
  <si>
    <t>Scale high-margin Accessories</t>
  </si>
  <si>
    <t>Diversify customer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</si>
</sst>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#,##0;[Red]\-#,##0"/>
    <numFmt numFmtId="165" formatCode="0.0%"/>
    <numFmt numFmtId="166" formatCode="#,##0.0"/>
    <numFmt numFmtId="167" formatCode="0.0"/>
    <numFmt numFmtId="168" formatCode="dd\-mmm\-yy"/>
    <numFmt numFmtId="169" formatCode="0.0%;[Red]\-0.0%"/>
    <numFmt numFmtId="170" formatCode="_(&quot;$&quot;* #,##0_);_(&quot;$&quot;* \(#,##0\);_(&quot;$&quot;* &quot;-&quot;??_);_(@_)"/>
    <numFmt numFmtId="171" formatCode="#,##0;[Red]\-#,##0;0"/>
  </numFmts>
  <fonts count="2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i/>
      <sz val="11"/>
      <color rgb="FF666666"/>
      <name val="Aptos Narrow"/>
      <family val="2"/>
      <scheme val="minor"/>
    </font>
    <font>
      <b/>
      <sz val="11"/>
      <color rgb="FF17365D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i/>
      <sz val="10"/>
      <color rgb="FF666666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rgb="FF262626"/>
      <name val="Aptos Narrow"/>
      <family val="2"/>
      <scheme val="minor"/>
    </font>
    <font>
      <b/>
      <sz val="14"/>
      <color rgb="FF262626"/>
      <name val="Aptos Narrow"/>
      <family val="2"/>
      <scheme val="minor"/>
    </font>
    <font>
      <b/>
      <sz val="11"/>
      <color rgb="FF262626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2"/>
      <color rgb="FF001F43"/>
      <name val="Aptos Narrow"/>
      <family val="2"/>
      <scheme val="minor"/>
    </font>
    <font>
      <b/>
      <sz val="11"/>
      <color rgb="FF001F43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1F43"/>
        <bgColor indexed="64"/>
      </patternFill>
    </fill>
    <fill>
      <patternFill patternType="solid">
        <fgColor rgb="FFB9D5F3"/>
        <bgColor indexed="64"/>
      </patternFill>
    </fill>
    <fill>
      <patternFill patternType="solid">
        <fgColor rgb="FFF2F6FF"/>
        <bgColor indexed="64"/>
      </patternFill>
    </fill>
    <fill>
      <patternFill patternType="solid">
        <fgColor rgb="FFF8F8F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/>
      <diagonal/>
    </border>
    <border>
      <left/>
      <right/>
      <top style="thin">
        <color rgb="FFD9E2F3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 style="thin">
        <color rgb="FFD9E2F3"/>
      </top>
      <bottom/>
      <diagonal/>
    </border>
    <border>
      <left style="thin">
        <color rgb="FFD9D9D9"/>
      </left>
      <right/>
      <top style="thin">
        <color rgb="FFD9E2F3"/>
      </top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 style="thin">
        <color rgb="FFD9E2F3"/>
      </top>
      <bottom/>
      <diagonal/>
    </border>
    <border>
      <left/>
      <right style="thin">
        <color rgb="FFD9D9D9"/>
      </right>
      <top style="thin">
        <color rgb="FFD9E2F3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medium">
        <color rgb="FF001F43"/>
      </bottom>
      <diagonal/>
    </border>
    <border>
      <left/>
      <right/>
      <top style="thin">
        <color rgb="FFD9D9D9"/>
      </top>
      <bottom style="medium">
        <color rgb="FF001F43"/>
      </bottom>
      <diagonal/>
    </border>
    <border>
      <left/>
      <right style="thin">
        <color rgb="FFD9D9D9"/>
      </right>
      <top style="thin">
        <color rgb="FFD9D9D9"/>
      </top>
      <bottom style="medium">
        <color rgb="FF001F43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38">
    <xf numFmtId="0" fontId="0" fillId="0" borderId="0" xfId="0"/>
    <xf numFmtId="1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0" fillId="0" borderId="0" xfId="0" applyNumberFormat="1"/>
    <xf numFmtId="4" fontId="0" fillId="0" borderId="0" xfId="0" applyNumberFormat="1"/>
    <xf numFmtId="0" fontId="1" fillId="2" borderId="2" xfId="0" applyFont="1" applyFill="1" applyBorder="1" applyAlignment="1">
      <alignment horizontal="right" vertical="center" wrapText="1"/>
    </xf>
    <xf numFmtId="0" fontId="0" fillId="0" borderId="1" xfId="0" applyBorder="1"/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/>
    <xf numFmtId="0" fontId="0" fillId="0" borderId="5" xfId="0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0" xfId="0" applyAlignment="1">
      <alignment wrapText="1"/>
    </xf>
    <xf numFmtId="0" fontId="3" fillId="3" borderId="0" xfId="0" applyFont="1" applyFill="1"/>
    <xf numFmtId="0" fontId="3" fillId="6" borderId="0" xfId="0" applyFont="1" applyFill="1"/>
    <xf numFmtId="0" fontId="3" fillId="6" borderId="1" xfId="0" applyFont="1" applyFill="1" applyBorder="1" applyAlignment="1">
      <alignment horizontal="center"/>
    </xf>
    <xf numFmtId="3" fontId="0" fillId="0" borderId="1" xfId="0" applyNumberFormat="1" applyBorder="1"/>
    <xf numFmtId="165" fontId="0" fillId="0" borderId="1" xfId="0" applyNumberFormat="1" applyBorder="1"/>
    <xf numFmtId="3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1" xfId="0" quotePrefix="1" applyBorder="1"/>
    <xf numFmtId="167" fontId="0" fillId="0" borderId="1" xfId="0" applyNumberFormat="1" applyBorder="1"/>
    <xf numFmtId="0" fontId="0" fillId="0" borderId="1" xfId="0" applyBorder="1" applyAlignment="1">
      <alignment wrapText="1"/>
    </xf>
    <xf numFmtId="168" fontId="0" fillId="0" borderId="1" xfId="0" applyNumberFormat="1" applyBorder="1"/>
    <xf numFmtId="0" fontId="8" fillId="7" borderId="1" xfId="0" applyFont="1" applyFill="1" applyBorder="1"/>
    <xf numFmtId="0" fontId="2" fillId="8" borderId="1" xfId="0" applyFont="1" applyFill="1" applyBorder="1"/>
    <xf numFmtId="0" fontId="2" fillId="4" borderId="1" xfId="0" applyFont="1" applyFill="1" applyBorder="1"/>
    <xf numFmtId="0" fontId="0" fillId="8" borderId="1" xfId="0" applyFill="1" applyBorder="1" applyAlignment="1">
      <alignment horizontal="right" vertical="center"/>
    </xf>
    <xf numFmtId="15" fontId="0" fillId="7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3" fillId="6" borderId="3" xfId="0" applyFont="1" applyFill="1" applyBorder="1"/>
    <xf numFmtId="0" fontId="3" fillId="6" borderId="7" xfId="0" applyFont="1" applyFill="1" applyBorder="1"/>
    <xf numFmtId="164" fontId="0" fillId="0" borderId="1" xfId="0" applyNumberFormat="1" applyBorder="1"/>
    <xf numFmtId="169" fontId="0" fillId="0" borderId="1" xfId="0" applyNumberFormat="1" applyBorder="1"/>
    <xf numFmtId="0" fontId="2" fillId="9" borderId="0" xfId="0" applyFont="1" applyFill="1"/>
    <xf numFmtId="0" fontId="3" fillId="6" borderId="1" xfId="0" applyFont="1" applyFill="1" applyBorder="1"/>
    <xf numFmtId="165" fontId="0" fillId="0" borderId="0" xfId="0" applyNumberFormat="1"/>
    <xf numFmtId="0" fontId="3" fillId="6" borderId="0" xfId="0" applyFont="1" applyFill="1" applyAlignment="1">
      <alignment wrapText="1"/>
    </xf>
    <xf numFmtId="44" fontId="0" fillId="0" borderId="1" xfId="1" applyFont="1" applyBorder="1" applyAlignment="1">
      <alignment horizontal="right" vertical="center"/>
    </xf>
    <xf numFmtId="170" fontId="0" fillId="0" borderId="1" xfId="1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12" fillId="10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top"/>
    </xf>
    <xf numFmtId="0" fontId="2" fillId="8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11" borderId="1" xfId="0" applyFont="1" applyFill="1" applyBorder="1" applyAlignment="1">
      <alignment vertical="top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3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4" fillId="5" borderId="0" xfId="0" applyFont="1" applyFill="1"/>
    <xf numFmtId="0" fontId="5" fillId="0" borderId="0" xfId="0" applyFont="1"/>
    <xf numFmtId="0" fontId="6" fillId="4" borderId="1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1" fontId="7" fillId="0" borderId="1" xfId="0" applyNumberFormat="1" applyFont="1" applyBorder="1" applyAlignment="1">
      <alignment horizontal="center"/>
    </xf>
    <xf numFmtId="0" fontId="3" fillId="6" borderId="0" xfId="0" applyFont="1" applyFill="1"/>
    <xf numFmtId="0" fontId="0" fillId="0" borderId="1" xfId="0" applyBorder="1" applyAlignment="1">
      <alignment wrapText="1"/>
    </xf>
    <xf numFmtId="0" fontId="0" fillId="0" borderId="0" xfId="0"/>
    <xf numFmtId="0" fontId="3" fillId="5" borderId="4" xfId="0" applyFont="1" applyFill="1" applyBorder="1"/>
    <xf numFmtId="0" fontId="3" fillId="5" borderId="6" xfId="0" applyFont="1" applyFill="1" applyBorder="1"/>
    <xf numFmtId="0" fontId="9" fillId="5" borderId="0" xfId="0" applyFont="1" applyFill="1"/>
    <xf numFmtId="0" fontId="2" fillId="4" borderId="0" xfId="0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0" fontId="3" fillId="5" borderId="1" xfId="0" applyFont="1" applyFill="1" applyBorder="1"/>
    <xf numFmtId="0" fontId="2" fillId="4" borderId="0" xfId="0" applyFont="1" applyFill="1"/>
    <xf numFmtId="0" fontId="0" fillId="0" borderId="1" xfId="0" applyBorder="1" applyAlignment="1">
      <alignment vertical="top" wrapText="1"/>
    </xf>
    <xf numFmtId="0" fontId="10" fillId="0" borderId="0" xfId="0" applyFont="1" applyAlignment="1">
      <alignment horizontal="center"/>
    </xf>
    <xf numFmtId="0" fontId="13" fillId="5" borderId="1" xfId="0" applyFont="1" applyFill="1" applyBorder="1"/>
    <xf numFmtId="165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0" fontId="14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2" fillId="12" borderId="0" xfId="0" applyFont="1" applyFill="1"/>
    <xf numFmtId="0" fontId="2" fillId="0" borderId="0" xfId="0" applyFont="1"/>
    <xf numFmtId="3" fontId="0" fillId="12" borderId="0" xfId="0" applyNumberFormat="1" applyFill="1" applyAlignment="1">
      <alignment horizontal="right"/>
    </xf>
    <xf numFmtId="165" fontId="0" fillId="12" borderId="0" xfId="0" applyNumberForma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5" fillId="13" borderId="0" xfId="0" applyFont="1" applyFill="1"/>
    <xf numFmtId="0" fontId="16" fillId="0" borderId="0" xfId="0" applyFont="1" applyAlignment="1">
      <alignment wrapText="1"/>
    </xf>
    <xf numFmtId="171" fontId="0" fillId="0" borderId="0" xfId="0" applyNumberFormat="1"/>
    <xf numFmtId="169" fontId="0" fillId="0" borderId="0" xfId="0" applyNumberFormat="1"/>
    <xf numFmtId="0" fontId="15" fillId="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2" fillId="7" borderId="0" xfId="0" applyFont="1" applyFill="1"/>
    <xf numFmtId="1" fontId="0" fillId="0" borderId="0" xfId="0" applyNumberFormat="1" applyAlignment="1">
      <alignment horizontal="center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14" borderId="0" xfId="0" applyFill="1"/>
    <xf numFmtId="3" fontId="0" fillId="14" borderId="0" xfId="0" applyNumberFormat="1" applyFill="1"/>
    <xf numFmtId="165" fontId="0" fillId="14" borderId="0" xfId="0" applyNumberFormat="1" applyFill="1"/>
    <xf numFmtId="0" fontId="17" fillId="14" borderId="0" xfId="0" applyFont="1" applyFill="1"/>
    <xf numFmtId="0" fontId="18" fillId="14" borderId="0" xfId="0" applyFont="1" applyFill="1" applyBorder="1" applyAlignment="1">
      <alignment horizontal="center" vertical="center"/>
    </xf>
    <xf numFmtId="0" fontId="17" fillId="14" borderId="0" xfId="0" applyFont="1" applyFill="1" applyBorder="1" applyAlignment="1">
      <alignment vertical="center" wrapText="1"/>
    </xf>
    <xf numFmtId="0" fontId="18" fillId="14" borderId="10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vertical="center" wrapText="1"/>
    </xf>
    <xf numFmtId="0" fontId="18" fillId="14" borderId="9" xfId="0" applyFont="1" applyFill="1" applyBorder="1" applyAlignment="1">
      <alignment horizontal="center" vertical="center"/>
    </xf>
    <xf numFmtId="0" fontId="17" fillId="14" borderId="9" xfId="0" applyFont="1" applyFill="1" applyBorder="1" applyAlignment="1">
      <alignment vertical="center" wrapText="1"/>
    </xf>
    <xf numFmtId="0" fontId="19" fillId="14" borderId="0" xfId="0" applyFont="1" applyFill="1" applyBorder="1" applyAlignment="1">
      <alignment vertical="center" wrapText="1"/>
    </xf>
    <xf numFmtId="0" fontId="17" fillId="14" borderId="0" xfId="0" applyFont="1" applyFill="1" applyBorder="1" applyAlignment="1">
      <alignment vertical="center" wrapText="1"/>
    </xf>
    <xf numFmtId="0" fontId="4" fillId="15" borderId="0" xfId="0" applyFont="1" applyFill="1" applyAlignment="1">
      <alignment horizontal="center"/>
    </xf>
    <xf numFmtId="0" fontId="20" fillId="15" borderId="0" xfId="0" applyFont="1" applyFill="1" applyAlignment="1">
      <alignment horizontal="center"/>
    </xf>
    <xf numFmtId="0" fontId="21" fillId="16" borderId="0" xfId="0" applyFont="1" applyFill="1" applyAlignment="1">
      <alignment horizontal="left"/>
    </xf>
    <xf numFmtId="0" fontId="21" fillId="16" borderId="0" xfId="0" applyFont="1" applyFill="1"/>
    <xf numFmtId="0" fontId="19" fillId="14" borderId="11" xfId="0" applyFont="1" applyFill="1" applyBorder="1" applyAlignment="1">
      <alignment vertical="center" wrapText="1"/>
    </xf>
    <xf numFmtId="0" fontId="17" fillId="14" borderId="11" xfId="0" applyFont="1" applyFill="1" applyBorder="1" applyAlignment="1">
      <alignment vertical="center" wrapText="1"/>
    </xf>
    <xf numFmtId="0" fontId="18" fillId="14" borderId="12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/>
    </xf>
    <xf numFmtId="0" fontId="17" fillId="14" borderId="15" xfId="0" applyFont="1" applyFill="1" applyBorder="1" applyAlignment="1">
      <alignment vertical="center" wrapText="1"/>
    </xf>
    <xf numFmtId="0" fontId="17" fillId="14" borderId="17" xfId="0" applyFont="1" applyFill="1" applyBorder="1" applyAlignment="1">
      <alignment vertical="center" wrapText="1"/>
    </xf>
    <xf numFmtId="0" fontId="22" fillId="17" borderId="18" xfId="0" applyFont="1" applyFill="1" applyBorder="1" applyAlignment="1">
      <alignment horizontal="center" wrapText="1"/>
    </xf>
    <xf numFmtId="0" fontId="22" fillId="17" borderId="19" xfId="0" applyFont="1" applyFill="1" applyBorder="1" applyAlignment="1">
      <alignment horizontal="center" wrapText="1"/>
    </xf>
    <xf numFmtId="0" fontId="22" fillId="17" borderId="20" xfId="0" applyFont="1" applyFill="1" applyBorder="1" applyAlignment="1">
      <alignment horizontal="center" wrapText="1"/>
    </xf>
    <xf numFmtId="0" fontId="18" fillId="18" borderId="13" xfId="0" applyFont="1" applyFill="1" applyBorder="1" applyAlignment="1">
      <alignment horizontal="center" vertical="center"/>
    </xf>
    <xf numFmtId="0" fontId="19" fillId="18" borderId="10" xfId="0" applyFont="1" applyFill="1" applyBorder="1" applyAlignment="1">
      <alignment vertical="center" wrapText="1"/>
    </xf>
    <xf numFmtId="0" fontId="17" fillId="18" borderId="10" xfId="0" applyFont="1" applyFill="1" applyBorder="1" applyAlignment="1">
      <alignment vertical="center" wrapText="1"/>
    </xf>
    <xf numFmtId="0" fontId="17" fillId="18" borderId="16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9">
    <dxf>
      <font>
        <b/>
        <i val="0"/>
      </font>
      <fill>
        <patternFill patternType="solid">
          <fgColor indexed="64"/>
          <bgColor rgb="FFFFC7CE"/>
        </patternFill>
      </fill>
    </dxf>
    <dxf>
      <font>
        <b/>
        <i val="0"/>
      </font>
      <fill>
        <patternFill patternType="solid">
          <fgColor indexed="64"/>
          <bgColor rgb="FFC6E0B4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1B5E20"/>
      </font>
      <fill>
        <patternFill patternType="solid">
          <fgColor indexed="64"/>
          <bgColor rgb="FFC6E0B4"/>
        </patternFill>
      </fill>
    </dxf>
    <dxf>
      <font>
        <b/>
        <i val="0"/>
        <color rgb="FF1B5E20"/>
      </font>
      <fill>
        <patternFill patternType="solid">
          <fgColor indexed="64"/>
          <bgColor rgb="FFC6E0B4"/>
        </patternFill>
      </fill>
    </dxf>
    <dxf>
      <font>
        <b/>
        <i val="0"/>
        <color rgb="FF1B5E20"/>
      </font>
      <fill>
        <patternFill patternType="solid">
          <fgColor indexed="64"/>
          <bgColor rgb="FFC6E0B4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Products by Total 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'19'!$M$1</c:f>
              <c:strCache>
                <c:ptCount val="1"/>
                <c:pt idx="0">
                  <c:v>Total Sales</c:v>
                </c:pt>
              </c:strCache>
            </c:strRef>
          </c:tx>
          <c:spPr>
            <a:solidFill>
              <a:srgbClr val="4472C4"/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'19'!$L$2:$L$5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'19'!$M$2:$M$5</c:f>
              <c:numCache>
                <c:formatCode>#,##0</c:formatCode>
                <c:ptCount val="4"/>
                <c:pt idx="0">
                  <c:v>139300</c:v>
                </c:pt>
                <c:pt idx="1">
                  <c:v>92600</c:v>
                </c:pt>
                <c:pt idx="2">
                  <c:v>42200</c:v>
                </c:pt>
                <c:pt idx="3">
                  <c:v>31100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4-479E-B009-C04B82612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848345792"/>
        <c:axId val="492981807"/>
      </c:barChart>
      <c:catAx>
        <c:axId val="18483457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81807"/>
        <c:crosses val="autoZero"/>
        <c:auto val="1"/>
        <c:lblAlgn val="ctr"/>
        <c:lblOffset val="100"/>
        <c:noMultiLvlLbl val="0"/>
      </c:catAx>
      <c:valAx>
        <c:axId val="4929818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345792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Sales vs Target Sales by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'20'!$M$1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rgbClr val="4472C4"/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'20'!$L$2:$L$5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'20'!$M$2:$M$5</c:f>
              <c:numCache>
                <c:formatCode>#,##0</c:formatCode>
                <c:ptCount val="4"/>
                <c:pt idx="0">
                  <c:v>139300</c:v>
                </c:pt>
                <c:pt idx="1">
                  <c:v>92600</c:v>
                </c:pt>
                <c:pt idx="2">
                  <c:v>42200</c:v>
                </c:pt>
                <c:pt idx="3">
                  <c:v>31100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B-47CD-BEA1-82355A89FFE6}"/>
            </c:ext>
          </c:extLst>
        </c:ser>
        <c:ser>
          <c:idx val="1"/>
          <c:order val="1"/>
          <c:tx>
            <c:strRef>
              <c:f>'20'!$N$1</c:f>
              <c:strCache>
                <c:ptCount val="1"/>
                <c:pt idx="0">
                  <c:v>Target Sales</c:v>
                </c:pt>
              </c:strCache>
            </c:strRef>
          </c:tx>
          <c:spPr>
            <a:solidFill>
              <a:srgbClr val="A5A5A5"/>
            </a:solidFill>
            <a:ln>
              <a:solidFill>
                <a:srgbClr val="7F7F7F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'20'!$L$2:$L$5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'20'!$N$2:$N$5</c:f>
              <c:numCache>
                <c:formatCode>#,##0</c:formatCode>
                <c:ptCount val="4"/>
                <c:pt idx="0">
                  <c:v>135000</c:v>
                </c:pt>
                <c:pt idx="1">
                  <c:v>93000</c:v>
                </c:pt>
                <c:pt idx="2">
                  <c:v>40800</c:v>
                </c:pt>
                <c:pt idx="3">
                  <c:v>30200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B-47CD-BEA1-82355A89F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848367600"/>
        <c:axId val="493059087"/>
      </c:barChart>
      <c:catAx>
        <c:axId val="1848367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59087"/>
        <c:crosses val="autoZero"/>
        <c:auto val="1"/>
        <c:lblAlgn val="ctr"/>
        <c:lblOffset val="100"/>
        <c:noMultiLvlLbl val="0"/>
      </c:catAx>
      <c:valAx>
        <c:axId val="49305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367600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Profit by Month — Combined Across Years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'21'!$M$1</c:f>
              <c:strCache>
                <c:ptCount val="1"/>
                <c:pt idx="0">
                  <c:v>Total Profit</c:v>
                </c:pt>
              </c:strCache>
            </c:strRef>
          </c:tx>
          <c:spPr>
            <a:solidFill>
              <a:srgbClr val="4472C4"/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'21'!$L$2:$L$13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'21'!$M$2:$M$13</c:f>
              <c:numCache>
                <c:formatCode>#,##0</c:formatCode>
                <c:ptCount val="12"/>
                <c:pt idx="0">
                  <c:v>7115</c:v>
                </c:pt>
                <c:pt idx="1">
                  <c:v>5180</c:v>
                </c:pt>
                <c:pt idx="2">
                  <c:v>3750</c:v>
                </c:pt>
                <c:pt idx="3">
                  <c:v>5755</c:v>
                </c:pt>
                <c:pt idx="4">
                  <c:v>3985</c:v>
                </c:pt>
                <c:pt idx="5">
                  <c:v>6600</c:v>
                </c:pt>
                <c:pt idx="6">
                  <c:v>2800</c:v>
                </c:pt>
                <c:pt idx="7">
                  <c:v>7275</c:v>
                </c:pt>
                <c:pt idx="8">
                  <c:v>6215</c:v>
                </c:pt>
                <c:pt idx="9">
                  <c:v>5320</c:v>
                </c:pt>
                <c:pt idx="10">
                  <c:v>7585</c:v>
                </c:pt>
                <c:pt idx="11">
                  <c:v>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2-4118-A274-44A7BB7BA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-27"/>
        <c:axId val="1848431632"/>
        <c:axId val="493017327"/>
      </c:barChart>
      <c:catAx>
        <c:axId val="1848431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17327"/>
        <c:crosses val="autoZero"/>
        <c:auto val="1"/>
        <c:lblAlgn val="ctr"/>
        <c:lblOffset val="100"/>
        <c:noMultiLvlLbl val="0"/>
      </c:catAx>
      <c:valAx>
        <c:axId val="493017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Profit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431632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 Generated by Top Customers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'22'!$M$1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472C4"/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'22'!$L$2:$L$6</c:f>
              <c:strCache>
                <c:ptCount val="5"/>
                <c:pt idx="0">
                  <c:v>Global Stores</c:v>
                </c:pt>
                <c:pt idx="1">
                  <c:v>City Electronics</c:v>
                </c:pt>
                <c:pt idx="2">
                  <c:v>ABC Retail</c:v>
                </c:pt>
                <c:pt idx="3">
                  <c:v>Prime Mart</c:v>
                </c:pt>
                <c:pt idx="4">
                  <c:v>Tech World</c:v>
                </c:pt>
              </c:strCache>
            </c:strRef>
          </c:cat>
          <c:val>
            <c:numRef>
              <c:f>'22'!$M$2:$M$6</c:f>
              <c:numCache>
                <c:formatCode>#,##0</c:formatCode>
                <c:ptCount val="5"/>
                <c:pt idx="0">
                  <c:v>99000</c:v>
                </c:pt>
                <c:pt idx="1">
                  <c:v>71800</c:v>
                </c:pt>
                <c:pt idx="2">
                  <c:v>69400</c:v>
                </c:pt>
                <c:pt idx="3">
                  <c:v>33900</c:v>
                </c:pt>
                <c:pt idx="4">
                  <c:v>31100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E-4E6F-B644-A6EC17187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1848465968"/>
        <c:axId val="493016847"/>
      </c:barChart>
      <c:catAx>
        <c:axId val="18484659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Customer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16847"/>
        <c:crosses val="autoZero"/>
        <c:auto val="1"/>
        <c:lblAlgn val="ctr"/>
        <c:lblOffset val="100"/>
        <c:noMultiLvlLbl val="0"/>
      </c:catAx>
      <c:valAx>
        <c:axId val="493016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Revenue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465968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Across Product Categories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'23'!$M$1</c:f>
              <c:strCache>
                <c:ptCount val="1"/>
                <c:pt idx="0">
                  <c:v>Total Sales</c:v>
                </c:pt>
              </c:strCache>
            </c:strRef>
          </c:tx>
          <c:spPr>
            <a:solidFill>
              <a:srgbClr val="4472C4"/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'23'!$L$2:$L$3</c:f>
              <c:strCache>
                <c:ptCount val="2"/>
                <c:pt idx="0">
                  <c:v>Electronics</c:v>
                </c:pt>
                <c:pt idx="1">
                  <c:v>Accessories</c:v>
                </c:pt>
              </c:strCache>
            </c:strRef>
          </c:cat>
          <c:val>
            <c:numRef>
              <c:f>'23'!$M$2:$M$3</c:f>
              <c:numCache>
                <c:formatCode>#,##0</c:formatCode>
                <c:ptCount val="2"/>
                <c:pt idx="0">
                  <c:v>231900</c:v>
                </c:pt>
                <c:pt idx="1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6-49C8-A479-134DEF039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1662151775"/>
        <c:axId val="1662349935"/>
      </c:barChart>
      <c:catAx>
        <c:axId val="16621517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 Category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349935"/>
        <c:crosses val="autoZero"/>
        <c:auto val="1"/>
        <c:lblAlgn val="ctr"/>
        <c:lblOffset val="100"/>
        <c:noMultiLvlLbl val="0"/>
      </c:catAx>
      <c:valAx>
        <c:axId val="166234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151775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Product Category Contribution to Total 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'24'!$M$1</c:f>
              <c:strCache>
                <c:ptCount val="1"/>
                <c:pt idx="0">
                  <c:v>Total Sales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E-433E-8910-448203EB029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DCE-433E-8910-448203EB029A}"/>
              </c:ext>
            </c:extLst>
          </c:dPt>
          <c:dLbls>
            <c:dLbl>
              <c:idx val="0"/>
              <c:layout>
                <c:manualLayout>
                  <c:x val="8.5937499999999903E-2"/>
                  <c:y val="5.95238095238094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E-433E-8910-448203EB029A}"/>
                </c:ext>
              </c:extLst>
            </c:dLbl>
            <c:dLbl>
              <c:idx val="1"/>
              <c:layout>
                <c:manualLayout>
                  <c:x val="-9.375E-2"/>
                  <c:y val="-4.62962962962963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E-433E-8910-448203EB02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'24'!$L$2:$L$3</c:f>
              <c:strCache>
                <c:ptCount val="2"/>
                <c:pt idx="0">
                  <c:v>Electronics</c:v>
                </c:pt>
                <c:pt idx="1">
                  <c:v>Accessories</c:v>
                </c:pt>
              </c:strCache>
            </c:strRef>
          </c:cat>
          <c:val>
            <c:numRef>
              <c:f>'24'!$M$2:$M$3</c:f>
              <c:numCache>
                <c:formatCode>#,##0</c:formatCode>
                <c:ptCount val="2"/>
                <c:pt idx="0">
                  <c:v>231900</c:v>
                </c:pt>
                <c:pt idx="1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E-433E-8910-448203EB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Sales vs Target by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'25'!$M$1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rgbClr val="4472C4"/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'25'!$L$2:$L$5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'25'!$M$2:$M$5</c:f>
              <c:numCache>
                <c:formatCode>#,##0</c:formatCode>
                <c:ptCount val="4"/>
                <c:pt idx="0">
                  <c:v>139300</c:v>
                </c:pt>
                <c:pt idx="1">
                  <c:v>92600</c:v>
                </c:pt>
                <c:pt idx="2">
                  <c:v>42200</c:v>
                </c:pt>
                <c:pt idx="3">
                  <c:v>31100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F-45EF-916B-82DC601E19F7}"/>
            </c:ext>
          </c:extLst>
        </c:ser>
        <c:ser>
          <c:idx val="1"/>
          <c:order val="1"/>
          <c:tx>
            <c:strRef>
              <c:f>'25'!$N$1</c:f>
              <c:strCache>
                <c:ptCount val="1"/>
                <c:pt idx="0">
                  <c:v>Target Sales</c:v>
                </c:pt>
              </c:strCache>
            </c:strRef>
          </c:tx>
          <c:spPr>
            <a:solidFill>
              <a:srgbClr val="A5A5A5"/>
            </a:solidFill>
            <a:ln>
              <a:solidFill>
                <a:srgbClr val="7F7F7F"/>
              </a:solidFill>
              <a:prstDash val="solid"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'25'!$L$2:$L$5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'25'!$N$2:$N$5</c:f>
              <c:numCache>
                <c:formatCode>#,##0</c:formatCode>
                <c:ptCount val="4"/>
                <c:pt idx="0">
                  <c:v>135000</c:v>
                </c:pt>
                <c:pt idx="1">
                  <c:v>93000</c:v>
                </c:pt>
                <c:pt idx="2">
                  <c:v>40800</c:v>
                </c:pt>
                <c:pt idx="3">
                  <c:v>30200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F-45EF-916B-82DC601E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776218047"/>
        <c:axId val="1662477615"/>
      </c:barChart>
      <c:catAx>
        <c:axId val="177621804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477615"/>
        <c:crosses val="autoZero"/>
        <c:auto val="1"/>
        <c:lblAlgn val="ctr"/>
        <c:lblOffset val="100"/>
        <c:noMultiLvlLbl val="0"/>
      </c:catAx>
      <c:valAx>
        <c:axId val="1662477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218047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Product Sales: 2025 vs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 Comparison'!$B$4</c:f>
              <c:strCache>
                <c:ptCount val="1"/>
                <c:pt idx="0">
                  <c:v>2025 Sales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 Comparison'!$A$5:$A$8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'Product Comparison'!$B$5:$B$8</c:f>
              <c:numCache>
                <c:formatCode>#,##0</c:formatCode>
                <c:ptCount val="4"/>
                <c:pt idx="0">
                  <c:v>34800</c:v>
                </c:pt>
                <c:pt idx="1">
                  <c:v>24900</c:v>
                </c:pt>
                <c:pt idx="2">
                  <c:v>10600</c:v>
                </c:pt>
                <c:pt idx="3">
                  <c:v>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E-4398-9CDA-4770BF491A71}"/>
            </c:ext>
          </c:extLst>
        </c:ser>
        <c:ser>
          <c:idx val="1"/>
          <c:order val="1"/>
          <c:tx>
            <c:strRef>
              <c:f>'Product Comparison'!$C$4</c:f>
              <c:strCache>
                <c:ptCount val="1"/>
                <c:pt idx="0">
                  <c:v>2026 Sales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 Comparison'!$A$5:$A$8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'Product Comparison'!$C$5:$C$8</c:f>
              <c:numCache>
                <c:formatCode>#,##0</c:formatCode>
                <c:ptCount val="4"/>
                <c:pt idx="0">
                  <c:v>104500</c:v>
                </c:pt>
                <c:pt idx="1">
                  <c:v>67700</c:v>
                </c:pt>
                <c:pt idx="2">
                  <c:v>31600</c:v>
                </c:pt>
                <c:pt idx="3">
                  <c:v>23100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9E-4398-9CDA-4770BF491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688016"/>
        <c:axId val="1360615824"/>
      </c:barChart>
      <c:catAx>
        <c:axId val="129688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0615824"/>
        <c:crosses val="autoZero"/>
        <c:auto val="1"/>
        <c:lblAlgn val="ctr"/>
        <c:lblOffset val="100"/>
        <c:noMultiLvlLbl val="0"/>
      </c:catAx>
      <c:valAx>
        <c:axId val="13606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88016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23</xdr:col>
      <xdr:colOff>0</xdr:colOff>
      <xdr:row>19</xdr:row>
      <xdr:rowOff>0</xdr:rowOff>
    </xdr:to>
    <xdr:graphicFrame macro="">
      <xdr:nvGraphicFramePr>
        <xdr:cNvPr id="2" name="Top Products by Sales">
          <a:extLst>
            <a:ext uri="{FF2B5EF4-FFF2-40B4-BE49-F238E27FC236}">
              <a16:creationId xmlns:a16="http://schemas.microsoft.com/office/drawing/2014/main" id="{22766478-9B93-086B-6247-1A9C8881B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274320</xdr:colOff>
      <xdr:row>0</xdr:row>
      <xdr:rowOff>0</xdr:rowOff>
    </xdr:from>
    <xdr:to>
      <xdr:col>23</xdr:col>
      <xdr:colOff>274320</xdr:colOff>
      <xdr:row>20</xdr:row>
      <xdr:rowOff>0</xdr:rowOff>
    </xdr:to>
    <xdr:graphicFrame macro="">
      <xdr:nvGraphicFramePr>
        <xdr:cNvPr id="2" name="Actual Sales vs Target Sales">
          <a:extLst>
            <a:ext uri="{FF2B5EF4-FFF2-40B4-BE49-F238E27FC236}">
              <a16:creationId xmlns:a16="http://schemas.microsoft.com/office/drawing/2014/main" id="{CFEFA64C-69B7-5671-2926-B9A391D04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23</xdr:col>
      <xdr:colOff>0</xdr:colOff>
      <xdr:row>20</xdr:row>
      <xdr:rowOff>0</xdr:rowOff>
    </xdr:to>
    <xdr:graphicFrame macro="">
      <xdr:nvGraphicFramePr>
        <xdr:cNvPr id="2" name="Profit by Month">
          <a:extLst>
            <a:ext uri="{FF2B5EF4-FFF2-40B4-BE49-F238E27FC236}">
              <a16:creationId xmlns:a16="http://schemas.microsoft.com/office/drawing/2014/main" id="{3FE22DC0-B83B-9804-AF70-A0D67AA581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23</xdr:col>
      <xdr:colOff>0</xdr:colOff>
      <xdr:row>20</xdr:row>
      <xdr:rowOff>0</xdr:rowOff>
    </xdr:to>
    <xdr:graphicFrame macro="">
      <xdr:nvGraphicFramePr>
        <xdr:cNvPr id="2" name="Top Customers by Revenue">
          <a:extLst>
            <a:ext uri="{FF2B5EF4-FFF2-40B4-BE49-F238E27FC236}">
              <a16:creationId xmlns:a16="http://schemas.microsoft.com/office/drawing/2014/main" id="{84F18AF9-6BC9-3DEC-DE4E-3A1CE50FF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297180</xdr:colOff>
      <xdr:row>19</xdr:row>
      <xdr:rowOff>0</xdr:rowOff>
    </xdr:to>
    <xdr:graphicFrame macro="">
      <xdr:nvGraphicFramePr>
        <xdr:cNvPr id="2" name="Sales by Product Category">
          <a:extLst>
            <a:ext uri="{FF2B5EF4-FFF2-40B4-BE49-F238E27FC236}">
              <a16:creationId xmlns:a16="http://schemas.microsoft.com/office/drawing/2014/main" id="{EA4C0CE4-11C5-675A-EDA6-3FFD62930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23</xdr:col>
      <xdr:colOff>0</xdr:colOff>
      <xdr:row>19</xdr:row>
      <xdr:rowOff>0</xdr:rowOff>
    </xdr:to>
    <xdr:graphicFrame macro="">
      <xdr:nvGraphicFramePr>
        <xdr:cNvPr id="5" name="Category Sales Contribution">
          <a:extLst>
            <a:ext uri="{FF2B5EF4-FFF2-40B4-BE49-F238E27FC236}">
              <a16:creationId xmlns:a16="http://schemas.microsoft.com/office/drawing/2014/main" id="{767BE0A7-BEAA-7E17-A100-96001CD470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24</xdr:col>
      <xdr:colOff>0</xdr:colOff>
      <xdr:row>20</xdr:row>
      <xdr:rowOff>0</xdr:rowOff>
    </xdr:to>
    <xdr:graphicFrame macro="">
      <xdr:nvGraphicFramePr>
        <xdr:cNvPr id="2" name="Recommended Sales Performance Chart">
          <a:extLst>
            <a:ext uri="{FF2B5EF4-FFF2-40B4-BE49-F238E27FC236}">
              <a16:creationId xmlns:a16="http://schemas.microsoft.com/office/drawing/2014/main" id="{1195CDCA-27D0-2F2E-85FA-1958DA0D3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Product Sales 2025 vs 2026">
          <a:extLst>
            <a:ext uri="{FF2B5EF4-FFF2-40B4-BE49-F238E27FC236}">
              <a16:creationId xmlns:a16="http://schemas.microsoft.com/office/drawing/2014/main" id="{19AB893C-E9B4-2C0A-BDF3-680BB81AA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E7F6-4363-431C-9615-8BB2A2000442}">
  <dimension ref="A1:O27"/>
  <sheetViews>
    <sheetView showGridLines="0" tabSelected="1" workbookViewId="0">
      <selection activeCell="F13" sqref="F13"/>
    </sheetView>
  </sheetViews>
  <sheetFormatPr defaultRowHeight="14.4" x14ac:dyDescent="0.3"/>
  <cols>
    <col min="1" max="1" width="7.77734375" customWidth="1"/>
    <col min="2" max="4" width="27.77734375" customWidth="1"/>
    <col min="7" max="7" width="43.88671875" customWidth="1"/>
    <col min="8" max="8" width="8.88671875" customWidth="1"/>
    <col min="9" max="9" width="18.44140625" bestFit="1" customWidth="1"/>
    <col min="10" max="10" width="12" bestFit="1" customWidth="1"/>
    <col min="11" max="11" width="7" bestFit="1" customWidth="1"/>
    <col min="12" max="12" width="8.21875" bestFit="1" customWidth="1"/>
  </cols>
  <sheetData>
    <row r="1" spans="1:15" ht="31.95" customHeight="1" x14ac:dyDescent="0.45">
      <c r="A1" s="121" t="s">
        <v>274</v>
      </c>
      <c r="B1" s="121"/>
      <c r="C1" s="121"/>
      <c r="D1" s="121"/>
      <c r="E1" s="109"/>
      <c r="F1" s="109"/>
      <c r="G1" s="109"/>
      <c r="H1" s="109"/>
      <c r="I1" s="109" t="s">
        <v>190</v>
      </c>
      <c r="J1" s="109" t="s">
        <v>200</v>
      </c>
      <c r="K1" s="109"/>
      <c r="L1" s="109"/>
      <c r="M1" s="109" t="s">
        <v>284</v>
      </c>
      <c r="N1" s="109" t="s">
        <v>200</v>
      </c>
      <c r="O1" s="109"/>
    </row>
    <row r="2" spans="1:15" ht="24" customHeight="1" x14ac:dyDescent="0.3">
      <c r="A2" s="122" t="s">
        <v>283</v>
      </c>
      <c r="B2" s="122"/>
      <c r="C2" s="122"/>
      <c r="D2" s="122"/>
      <c r="E2" s="109"/>
      <c r="F2" s="109"/>
      <c r="G2" s="109"/>
      <c r="H2" s="109"/>
      <c r="I2" s="109" t="s">
        <v>15</v>
      </c>
      <c r="J2" s="109">
        <f>SUM('43'!F2:F41)</f>
        <v>305200</v>
      </c>
      <c r="K2" s="109"/>
      <c r="L2" s="109"/>
      <c r="M2" s="109" t="s">
        <v>285</v>
      </c>
      <c r="N2" s="110">
        <f>SUMIFS('43'!F2:F41,'43'!D2:D41,"Accessories")</f>
        <v>73300</v>
      </c>
      <c r="O2" s="109"/>
    </row>
    <row r="3" spans="1:15" x14ac:dyDescent="0.3">
      <c r="A3" s="112"/>
      <c r="B3" s="112"/>
      <c r="C3" s="112"/>
      <c r="D3" s="112"/>
      <c r="E3" s="109"/>
      <c r="F3" s="109"/>
      <c r="G3" s="109"/>
      <c r="H3" s="109"/>
      <c r="I3" s="109" t="s">
        <v>5</v>
      </c>
      <c r="J3" s="109">
        <f>SUM('43'!H2:H41)</f>
        <v>299000</v>
      </c>
      <c r="K3" s="109"/>
      <c r="L3" s="109"/>
      <c r="M3" s="109" t="s">
        <v>286</v>
      </c>
      <c r="N3" s="111">
        <f>N2/J2</f>
        <v>0.24017038007863695</v>
      </c>
      <c r="O3" s="109"/>
    </row>
    <row r="4" spans="1:15" ht="22.05" customHeight="1" x14ac:dyDescent="0.3">
      <c r="A4" s="123" t="s">
        <v>275</v>
      </c>
      <c r="B4" s="123"/>
      <c r="C4" s="123"/>
      <c r="D4" s="123"/>
      <c r="E4" s="109"/>
      <c r="F4" s="109"/>
      <c r="G4" s="109"/>
      <c r="H4" s="109"/>
      <c r="I4" s="109" t="s">
        <v>204</v>
      </c>
      <c r="J4" s="109">
        <f>J2-J3</f>
        <v>6200</v>
      </c>
      <c r="K4" s="109"/>
      <c r="L4" s="109"/>
      <c r="M4" s="109" t="s">
        <v>287</v>
      </c>
      <c r="N4" s="111">
        <f>(LARGE(J22:J26,1)+LARGE(J22:J26,2))/J2</f>
        <v>0.55963302752293576</v>
      </c>
      <c r="O4" s="109"/>
    </row>
    <row r="5" spans="1:15" ht="18" x14ac:dyDescent="0.3">
      <c r="A5" s="113">
        <v>1</v>
      </c>
      <c r="B5" s="114" t="str">
        <f>"Sales reached "&amp;TEXT($J$2,"#,##0")&amp;", finishing "&amp;TEXT($J$4,"+#,##0;-#,##0;0")&amp;" ("&amp;TEXT($J$5,"0.0%")&amp;") above target; "&amp;$J$6&amp;" of 40 records exceeded target."</f>
        <v>Sales reached 305,200, finishing +6,200 (2.1%) above target; 23 of 40 records exceeded target.</v>
      </c>
      <c r="C5" s="114"/>
      <c r="D5" s="114"/>
      <c r="E5" s="109"/>
      <c r="F5" s="109"/>
      <c r="G5" s="109"/>
      <c r="H5" s="109"/>
      <c r="I5" s="109" t="s">
        <v>276</v>
      </c>
      <c r="J5" s="109">
        <f>J4/J3</f>
        <v>2.0735785953177259E-2</v>
      </c>
      <c r="K5" s="109"/>
      <c r="L5" s="109"/>
      <c r="M5" s="109" t="s">
        <v>288</v>
      </c>
      <c r="N5" s="110">
        <f>SUM(J22:J26)-LARGE(J22:J26,1)-LARGE(J22:J26,2)</f>
        <v>134400</v>
      </c>
      <c r="O5" s="109"/>
    </row>
    <row r="6" spans="1:15" ht="18" x14ac:dyDescent="0.3">
      <c r="A6" s="115">
        <v>2</v>
      </c>
      <c r="B6" s="116" t="str">
        <f>"Sales were "&amp;TEXT($J$8,"+#,##0;-#,##0;0")&amp;" ("&amp;TEXT($J$9,"0.0%")&amp;") above the comparable previous-year sales baseline of "&amp;TEXT($J$7,"#,##0")&amp;"."</f>
        <v>Sales were +37,300 (13.9%) above the comparable previous-year sales baseline of 267,900.</v>
      </c>
      <c r="C6" s="116"/>
      <c r="D6" s="116"/>
      <c r="E6" s="109"/>
      <c r="F6" s="109"/>
      <c r="G6" s="109"/>
      <c r="H6" s="109"/>
      <c r="I6" s="109" t="s">
        <v>277</v>
      </c>
      <c r="J6" s="109" cm="1">
        <f t="array" ref="J6">SUMPRODUCT(--('43'!F2:F41&gt;'43'!H2:H41))</f>
        <v>23</v>
      </c>
      <c r="K6" s="109"/>
      <c r="L6" s="109"/>
      <c r="M6" s="109" t="s">
        <v>289</v>
      </c>
      <c r="N6" s="110">
        <f>ABS(L17)</f>
        <v>400</v>
      </c>
      <c r="O6" s="109"/>
    </row>
    <row r="7" spans="1:15" ht="18" x14ac:dyDescent="0.3">
      <c r="A7" s="115">
        <v>3</v>
      </c>
      <c r="B7" s="116" t="str">
        <f>"Profit totaled "&amp;TEXT($J$10,"#,##0")&amp;", a "&amp;TEXT($J$11,"0.0%")&amp;" margin; Accessories delivered "&amp;TEXT($J$12,"0.0%")&amp;" versus Electronics at "&amp;TEXT($J$13,"0.0%")&amp;"."</f>
        <v>Profit totaled 64,705, a 21.2% margin; Accessories delivered 25.0% versus Electronics at 20.0%.</v>
      </c>
      <c r="C7" s="116"/>
      <c r="D7" s="116"/>
      <c r="E7" s="109"/>
      <c r="F7" s="109"/>
      <c r="G7" s="109"/>
      <c r="H7" s="109"/>
      <c r="I7" s="109" t="s">
        <v>6</v>
      </c>
      <c r="J7" s="109">
        <f>SUM('43'!I2:I41)</f>
        <v>267900</v>
      </c>
      <c r="K7" s="109"/>
      <c r="L7" s="109"/>
      <c r="M7" s="109" t="s">
        <v>290</v>
      </c>
      <c r="N7" s="110">
        <f>CEILING((0.27*J2-N2)/(1-0.27),100)</f>
        <v>12500</v>
      </c>
      <c r="O7" s="109"/>
    </row>
    <row r="8" spans="1:15" ht="18" x14ac:dyDescent="0.3">
      <c r="A8" s="115">
        <v>4</v>
      </c>
      <c r="B8" s="116" t="str">
        <f>"Laptop generated "&amp;TEXT(INDEX($J$16:$J$19,MATCH(MAX($J$16:$J$19),$J$16:$J$19,0)),"#,##0")&amp;" ("&amp;TEXT(MAX($J$16:$J$19)/$J$2,"0.0%")&amp;" of sales) and beat target by "&amp;TEXT(INDEX($L$16:$L$19,MATCH("Laptop",$I$16:$I$19,0)),"#,##0")&amp;"; Monitor was the only product below target, by "&amp;TEXT(ABS(INDEX($L$16:$L$19,MATCH("Monitor",$I$16:$I$19,0))),"#,##0")&amp;"."</f>
        <v>Laptop generated 139,300 (45.6% of sales) and beat target by 4,300; Monitor was the only product below target, by 400.</v>
      </c>
      <c r="C8" s="116"/>
      <c r="D8" s="116"/>
      <c r="E8" s="109"/>
      <c r="F8" s="109"/>
      <c r="G8" s="109"/>
      <c r="H8" s="109"/>
      <c r="I8" s="109" t="s">
        <v>278</v>
      </c>
      <c r="J8" s="109">
        <f>J2-J7</f>
        <v>37300</v>
      </c>
      <c r="K8" s="109"/>
      <c r="L8" s="109"/>
      <c r="M8" s="109"/>
      <c r="N8" s="109"/>
      <c r="O8" s="109"/>
    </row>
    <row r="9" spans="1:15" ht="18" x14ac:dyDescent="0.3">
      <c r="A9" s="117">
        <v>5</v>
      </c>
      <c r="B9" s="118" t="str">
        <f>INDEX($I$22:$I$26,MATCH(MAX($J$22:$J$26),$J$22:$J$26,0))&amp;" was the largest customer at "&amp;TEXT(MAX($J$22:$J$26),"#,##0")&amp;" ("&amp;TEXT(MAX($J$22:$J$26)/$J$2,"0.0%")&amp;"); the top two customers contributed "&amp;TEXT((LARGE($J$22:$J$26,1)+LARGE($J$22:$J$26,2))/$J$2,"0.0%")&amp;", indicating concentration."</f>
        <v>Global Stores was the largest customer at 99,000 (32.4%); the top two customers contributed 56.0%, indicating concentration.</v>
      </c>
      <c r="C9" s="118"/>
      <c r="D9" s="118"/>
      <c r="E9" s="109"/>
      <c r="F9" s="109"/>
      <c r="G9" s="109"/>
      <c r="H9" s="109"/>
      <c r="I9" s="109" t="s">
        <v>279</v>
      </c>
      <c r="J9" s="109">
        <f>J8/J7</f>
        <v>0.13923105636431504</v>
      </c>
      <c r="K9" s="109"/>
      <c r="L9" s="109"/>
      <c r="M9" s="109"/>
      <c r="N9" s="109"/>
      <c r="O9" s="109"/>
    </row>
    <row r="10" spans="1:15" x14ac:dyDescent="0.3">
      <c r="A10" s="112"/>
      <c r="B10" s="112"/>
      <c r="C10" s="112"/>
      <c r="D10" s="112"/>
      <c r="E10" s="109"/>
      <c r="F10" s="109"/>
      <c r="G10" s="109"/>
      <c r="H10" s="109"/>
      <c r="I10" s="109" t="s">
        <v>4</v>
      </c>
      <c r="J10" s="109">
        <f>SUM('43'!G2:G41)</f>
        <v>64705</v>
      </c>
      <c r="K10" s="109"/>
      <c r="L10" s="109"/>
      <c r="M10" s="109"/>
      <c r="N10" s="109"/>
      <c r="O10" s="109"/>
    </row>
    <row r="11" spans="1:15" ht="22.05" customHeight="1" x14ac:dyDescent="0.3">
      <c r="A11" s="124" t="s">
        <v>291</v>
      </c>
      <c r="B11" s="124"/>
      <c r="C11" s="124"/>
      <c r="D11" s="124"/>
      <c r="E11" s="109"/>
      <c r="F11" s="109"/>
      <c r="G11" s="109"/>
      <c r="H11" s="109"/>
      <c r="I11" s="109" t="s">
        <v>203</v>
      </c>
      <c r="J11" s="109">
        <f>J10/J2</f>
        <v>0.21200851900393186</v>
      </c>
      <c r="K11" s="109"/>
      <c r="L11" s="109"/>
      <c r="M11" s="109"/>
      <c r="N11" s="109"/>
      <c r="O11" s="109"/>
    </row>
    <row r="12" spans="1:15" ht="28.05" customHeight="1" thickBot="1" x14ac:dyDescent="0.35">
      <c r="A12" s="131" t="s">
        <v>46</v>
      </c>
      <c r="B12" s="132" t="s">
        <v>148</v>
      </c>
      <c r="C12" s="132" t="s">
        <v>201</v>
      </c>
      <c r="D12" s="133" t="s">
        <v>292</v>
      </c>
      <c r="E12" s="109"/>
      <c r="F12" s="109"/>
      <c r="G12" s="109"/>
      <c r="H12" s="109"/>
      <c r="I12" s="109" t="s">
        <v>280</v>
      </c>
      <c r="J12" s="109">
        <f>SUMIFS('43'!G2:G41,'43'!D2:D41,"Accessories")/SUMIFS('43'!F2:F41,'43'!D2:D41,"Accessories")</f>
        <v>0.25</v>
      </c>
      <c r="K12" s="109"/>
      <c r="L12" s="109"/>
      <c r="M12" s="109"/>
      <c r="N12" s="109"/>
      <c r="O12" s="109"/>
    </row>
    <row r="13" spans="1:15" ht="43.2" x14ac:dyDescent="0.3">
      <c r="A13" s="127">
        <v>1</v>
      </c>
      <c r="B13" s="119" t="s">
        <v>293</v>
      </c>
      <c r="C13" s="120" t="str">
        <f>"Monitor is the only product below target: "&amp;TEXT(J17,"#,##0")&amp;" sales versus "&amp;TEXT(K17,"#,##0")&amp;" target."</f>
        <v>Monitor is the only product below target: 92,600 sales versus 93,000 target.</v>
      </c>
      <c r="D13" s="129" t="str">
        <f>"Close the "&amp;TEXT(N6,"#,##0")&amp;" gap and achieve at least "&amp;TEXT(K17,"#,##0")&amp;" in Monitor sales."</f>
        <v>Close the 400 gap and achieve at least 93,000 in Monitor sales.</v>
      </c>
      <c r="E13" s="109"/>
      <c r="F13" s="109"/>
      <c r="G13" s="109"/>
      <c r="H13" s="109"/>
      <c r="I13" s="109" t="s">
        <v>281</v>
      </c>
      <c r="J13" s="109">
        <f>SUMIFS('43'!G2:G41,'43'!D2:D41,"Electronics")/SUMIFS('43'!F2:F41,'43'!D2:D41,"Electronics")</f>
        <v>0.2</v>
      </c>
      <c r="K13" s="109"/>
      <c r="L13" s="109"/>
      <c r="M13" s="109"/>
      <c r="N13" s="109"/>
      <c r="O13" s="109"/>
    </row>
    <row r="14" spans="1:15" ht="57.6" x14ac:dyDescent="0.3">
      <c r="A14" s="134">
        <v>2</v>
      </c>
      <c r="B14" s="135" t="s">
        <v>294</v>
      </c>
      <c r="C14" s="136" t="str">
        <f>"Accessories earn a "&amp;TEXT(J12,"0.0%")&amp;" margin versus "&amp;TEXT(J13,"0.0%")&amp;" for Electronics, but represent only "&amp;TEXT(N3,"0.0%")&amp;" of sales."</f>
        <v>Accessories earn a 25.0% margin versus 20.0% for Electronics, but represent only 24.0% of sales.</v>
      </c>
      <c r="D14" s="137" t="str">
        <f>"Add at least "&amp;TEXT(N7,"#,##0")&amp;" of Accessories sales to lift mix to 27.0%."</f>
        <v>Add at least 12,500 of Accessories sales to lift mix to 27.0%.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</row>
    <row r="15" spans="1:15" ht="43.2" x14ac:dyDescent="0.3">
      <c r="A15" s="128">
        <v>3</v>
      </c>
      <c r="B15" s="125" t="s">
        <v>295</v>
      </c>
      <c r="C15" s="126" t="str">
        <f>"The top two customers generate "&amp;TEXT(N4,"0.0%")&amp;" of sales; the other three contribute "&amp;TEXT(N5,"#,##0")&amp;" combined."</f>
        <v>The top two customers generate 56.0% of sales; the other three contribute 134,400 combined.</v>
      </c>
      <c r="D15" s="130" t="str">
        <f>"Add at least "&amp;TEXT(2*(LARGE(J22:J26,1)+LARGE(J22:J26,2))-J2,"#,##0")&amp;" from other accounts to reduce top-two share below 50%."</f>
        <v>Add at least 36,400 from other accounts to reduce top-two share below 50%.</v>
      </c>
      <c r="E15" s="109"/>
      <c r="F15" s="109"/>
      <c r="G15" s="109"/>
      <c r="H15" s="109"/>
      <c r="I15" s="109" t="s">
        <v>1</v>
      </c>
      <c r="J15" s="109" t="s">
        <v>3</v>
      </c>
      <c r="K15" s="109" t="s">
        <v>282</v>
      </c>
      <c r="L15" s="109" t="s">
        <v>93</v>
      </c>
      <c r="M15" s="109"/>
      <c r="N15" s="109"/>
      <c r="O15" s="109"/>
    </row>
    <row r="16" spans="1:15" x14ac:dyDescent="0.3">
      <c r="A16" s="109"/>
      <c r="B16" s="109"/>
      <c r="C16" s="109"/>
      <c r="D16" s="109"/>
      <c r="E16" s="109"/>
      <c r="F16" s="109"/>
      <c r="G16" s="109"/>
      <c r="H16" s="109"/>
      <c r="I16" s="109" t="s">
        <v>7</v>
      </c>
      <c r="J16" s="109">
        <f>SUMIF('43'!C$2:C$41,I16,'43'!F$2:F$41)</f>
        <v>139300</v>
      </c>
      <c r="K16" s="109">
        <f>SUMIF('43'!C$2:C$41,I16,'43'!H$2:H$41)</f>
        <v>135000</v>
      </c>
      <c r="L16" s="109">
        <f>J16-K16</f>
        <v>4300</v>
      </c>
      <c r="M16" s="109"/>
      <c r="N16" s="109"/>
      <c r="O16" s="109"/>
    </row>
    <row r="17" spans="1:15" x14ac:dyDescent="0.3">
      <c r="A17" s="109"/>
      <c r="B17" s="109"/>
      <c r="C17" s="109"/>
      <c r="D17" s="109"/>
      <c r="E17" s="109"/>
      <c r="F17" s="109"/>
      <c r="G17" s="109"/>
      <c r="H17" s="109"/>
      <c r="I17" s="109" t="s">
        <v>9</v>
      </c>
      <c r="J17" s="109">
        <f>SUMIF('43'!C$2:C$41,I17,'43'!F$2:F$41)</f>
        <v>92600</v>
      </c>
      <c r="K17" s="109">
        <f>SUMIF('43'!C$2:C$41,I17,'43'!H$2:H$41)</f>
        <v>93000</v>
      </c>
      <c r="L17" s="109">
        <f>J17-K17</f>
        <v>-400</v>
      </c>
      <c r="M17" s="109"/>
      <c r="N17" s="109"/>
      <c r="O17" s="109"/>
    </row>
    <row r="18" spans="1:15" x14ac:dyDescent="0.3">
      <c r="A18" s="109"/>
      <c r="B18" s="109"/>
      <c r="C18" s="109"/>
      <c r="D18" s="109"/>
      <c r="E18" s="109"/>
      <c r="F18" s="109"/>
      <c r="G18" s="109"/>
      <c r="H18" s="109"/>
      <c r="I18" s="109" t="s">
        <v>11</v>
      </c>
      <c r="J18" s="109">
        <f>SUMIF('43'!C$2:C$41,I18,'43'!F$2:F$41)</f>
        <v>42200</v>
      </c>
      <c r="K18" s="109">
        <f>SUMIF('43'!C$2:C$41,I18,'43'!H$2:H$41)</f>
        <v>40800</v>
      </c>
      <c r="L18" s="109">
        <f>J18-K18</f>
        <v>1400</v>
      </c>
      <c r="M18" s="109"/>
      <c r="N18" s="109"/>
      <c r="O18" s="109"/>
    </row>
    <row r="19" spans="1:15" x14ac:dyDescent="0.3">
      <c r="A19" s="109"/>
      <c r="B19" s="109"/>
      <c r="C19" s="109"/>
      <c r="D19" s="109"/>
      <c r="E19" s="109"/>
      <c r="F19" s="109"/>
      <c r="G19" s="109"/>
      <c r="H19" s="109"/>
      <c r="I19" s="109" t="s">
        <v>13</v>
      </c>
      <c r="J19" s="109">
        <f>SUMIF('43'!C$2:C$41,I19,'43'!F$2:F$41)</f>
        <v>31100</v>
      </c>
      <c r="K19" s="109">
        <f>SUMIF('43'!C$2:C$41,I19,'43'!H$2:H$41)</f>
        <v>30200</v>
      </c>
      <c r="L19" s="109">
        <f>J19-K19</f>
        <v>900</v>
      </c>
      <c r="M19" s="109"/>
      <c r="N19" s="109"/>
      <c r="O19" s="109"/>
    </row>
    <row r="20" spans="1:15" x14ac:dyDescent="0.3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</row>
    <row r="21" spans="1:15" x14ac:dyDescent="0.3">
      <c r="A21" s="109"/>
      <c r="B21" s="109"/>
      <c r="C21" s="109"/>
      <c r="D21" s="109"/>
      <c r="E21" s="109"/>
      <c r="F21" s="109"/>
      <c r="G21" s="109"/>
      <c r="H21" s="109"/>
      <c r="I21" s="109" t="s">
        <v>18</v>
      </c>
      <c r="J21" s="109" t="s">
        <v>3</v>
      </c>
      <c r="K21" s="109"/>
      <c r="L21" s="109"/>
      <c r="M21" s="109"/>
      <c r="N21" s="109"/>
      <c r="O21" s="109"/>
    </row>
    <row r="22" spans="1:15" x14ac:dyDescent="0.3">
      <c r="A22" s="109"/>
      <c r="B22" s="109"/>
      <c r="C22" s="109"/>
      <c r="D22" s="109"/>
      <c r="E22" s="109"/>
      <c r="F22" s="109"/>
      <c r="G22" s="109"/>
      <c r="H22" s="109"/>
      <c r="I22" s="109" t="s">
        <v>21</v>
      </c>
      <c r="J22" s="109">
        <f>SUMIF('43'!B$2:B$41,I22,'43'!F$2:F$41)</f>
        <v>69400</v>
      </c>
      <c r="K22" s="109"/>
      <c r="L22" s="109"/>
      <c r="M22" s="109"/>
      <c r="N22" s="109"/>
      <c r="O22" s="109"/>
    </row>
    <row r="23" spans="1:15" x14ac:dyDescent="0.3">
      <c r="A23" s="109"/>
      <c r="B23" s="109"/>
      <c r="C23" s="109"/>
      <c r="D23" s="109"/>
      <c r="E23" s="109"/>
      <c r="F23" s="109"/>
      <c r="G23" s="109"/>
      <c r="H23" s="109"/>
      <c r="I23" s="109" t="s">
        <v>23</v>
      </c>
      <c r="J23" s="109">
        <f>SUMIF('43'!B$2:B$41,I23,'43'!F$2:F$41)</f>
        <v>99000</v>
      </c>
      <c r="K23" s="109"/>
      <c r="L23" s="109"/>
      <c r="M23" s="109"/>
      <c r="N23" s="109"/>
      <c r="O23" s="109"/>
    </row>
    <row r="24" spans="1:15" x14ac:dyDescent="0.3">
      <c r="A24" s="109"/>
      <c r="B24" s="109"/>
      <c r="C24" s="109"/>
      <c r="D24" s="109"/>
      <c r="E24" s="109"/>
      <c r="F24" s="109"/>
      <c r="G24" s="109"/>
      <c r="H24" s="109"/>
      <c r="I24" s="109" t="s">
        <v>24</v>
      </c>
      <c r="J24" s="109">
        <f>SUMIF('43'!B$2:B$41,I24,'43'!F$2:F$41)</f>
        <v>33900</v>
      </c>
      <c r="K24" s="109"/>
      <c r="L24" s="109"/>
      <c r="M24" s="109"/>
      <c r="N24" s="109"/>
      <c r="O24" s="109"/>
    </row>
    <row r="25" spans="1:15" x14ac:dyDescent="0.3">
      <c r="A25" s="109"/>
      <c r="B25" s="109"/>
      <c r="C25" s="109"/>
      <c r="D25" s="109"/>
      <c r="E25" s="109"/>
      <c r="F25" s="109"/>
      <c r="G25" s="109"/>
      <c r="H25" s="109"/>
      <c r="I25" s="109" t="s">
        <v>26</v>
      </c>
      <c r="J25" s="109">
        <f>SUMIF('43'!B$2:B$41,I25,'43'!F$2:F$41)</f>
        <v>31100</v>
      </c>
      <c r="K25" s="109"/>
      <c r="L25" s="109"/>
      <c r="M25" s="109"/>
      <c r="N25" s="109"/>
      <c r="O25" s="109"/>
    </row>
    <row r="26" spans="1:15" x14ac:dyDescent="0.3">
      <c r="A26" s="109"/>
      <c r="B26" s="109"/>
      <c r="C26" s="109"/>
      <c r="D26" s="109"/>
      <c r="E26" s="109"/>
      <c r="F26" s="109"/>
      <c r="G26" s="109"/>
      <c r="H26" s="109"/>
      <c r="I26" s="109" t="s">
        <v>27</v>
      </c>
      <c r="J26" s="109">
        <f>SUMIF('43'!B$2:B$41,I26,'43'!F$2:F$41)</f>
        <v>71800</v>
      </c>
      <c r="K26" s="109"/>
      <c r="L26" s="109"/>
      <c r="M26" s="109"/>
      <c r="N26" s="109"/>
      <c r="O26" s="109"/>
    </row>
    <row r="27" spans="1:15" x14ac:dyDescent="0.3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</row>
  </sheetData>
  <mergeCells count="9">
    <mergeCell ref="B8:D8"/>
    <mergeCell ref="B9:D9"/>
    <mergeCell ref="A11:D11"/>
    <mergeCell ref="A1:D1"/>
    <mergeCell ref="A2:D2"/>
    <mergeCell ref="A4:D4"/>
    <mergeCell ref="B5:D5"/>
    <mergeCell ref="B6:D6"/>
    <mergeCell ref="B7: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F412-0FF7-4F24-BE82-85E337EB4CF2}">
  <dimension ref="A1:O41"/>
  <sheetViews>
    <sheetView showGridLines="0" workbookViewId="0">
      <selection activeCell="L7" sqref="L7"/>
    </sheetView>
  </sheetViews>
  <sheetFormatPr defaultRowHeight="14.4" x14ac:dyDescent="0.3"/>
  <cols>
    <col min="1" max="1" width="9.5546875" bestFit="1" customWidth="1"/>
    <col min="2" max="2" width="13.44140625" bestFit="1" customWidth="1"/>
    <col min="3" max="3" width="8.44140625" bestFit="1" customWidth="1"/>
    <col min="4" max="4" width="10.88671875" bestFit="1" customWidth="1"/>
    <col min="5" max="5" width="6.5546875" bestFit="1" customWidth="1"/>
    <col min="6" max="6" width="6" bestFit="1" customWidth="1"/>
    <col min="7" max="7" width="5.5546875" bestFit="1" customWidth="1"/>
    <col min="8" max="8" width="11" bestFit="1" customWidth="1"/>
    <col min="9" max="9" width="17.21875" bestFit="1" customWidth="1"/>
    <col min="10" max="10" width="6.6640625" bestFit="1" customWidth="1"/>
    <col min="12" max="12" width="8" bestFit="1" customWidth="1"/>
    <col min="13" max="13" width="9.77734375" bestFit="1" customWidth="1"/>
    <col min="14" max="14" width="8" bestFit="1" customWidth="1"/>
    <col min="15" max="15" width="19.44140625" bestFit="1" customWidth="1"/>
  </cols>
  <sheetData>
    <row r="1" spans="1:15" s="17" customFormat="1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83" t="s">
        <v>110</v>
      </c>
      <c r="M1" s="83"/>
      <c r="N1" s="83"/>
      <c r="O1" s="83"/>
    </row>
    <row r="2" spans="1:15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s="41" t="s">
        <v>111</v>
      </c>
      <c r="M2" s="41" t="s">
        <v>96</v>
      </c>
      <c r="N2" s="41" t="s">
        <v>112</v>
      </c>
      <c r="O2" s="41" t="s">
        <v>113</v>
      </c>
    </row>
    <row r="3" spans="1:15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s="9" t="s">
        <v>114</v>
      </c>
      <c r="M3" s="9" t="str" cm="1">
        <f t="array" ref="M3">_xlfn.LET(_xlpm.m,_xlfn.SEQUENCE(12),_xlpm.v,_xlfn.MAP(_xlpm.m,_xlfn.LAMBDA(_xlpm.x,SUMPRODUCT((YEAR($A$2:$A$41)=2025)*(MONTH($A$2:$A$41)=_xlpm.x)*$F$2:$F$41))),TEXT(DATE(2025,_xlfn.XMATCH(MAX(_xlpm.v),_xlpm.v),1),"mmmm"))</f>
        <v>September</v>
      </c>
      <c r="N3" s="21" cm="1">
        <f t="array" ref="N3">_xlfn.LET(_xlpm.m,_xlfn.SEQUENCE(12),_xlpm.v,_xlfn.MAP(_xlpm.m,_xlfn.LAMBDA(_xlpm.x,SUMPRODUCT((YEAR($A$2:$A$41)=2025)*(MONTH($A$2:$A$41)=_xlpm.x)*$F$2:$F$41))),MAX(_xlpm.v))</f>
        <v>12500</v>
      </c>
      <c r="O3" s="9" t="s">
        <v>116</v>
      </c>
    </row>
    <row r="4" spans="1:15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s="9" t="s">
        <v>115</v>
      </c>
      <c r="M4" s="9" t="str" cm="1">
        <f t="array" ref="M4">_xlfn.LET(_xlpm.m,_xlfn.SEQUENCE(12),_xlpm.v,_xlfn.MAP(_xlpm.m,_xlfn.LAMBDA(_xlpm.x,SUMPRODUCT((YEAR($A$2:$A$41)=2025)*(MONTH($A$2:$A$41)=_xlpm.x)*$F$2:$F$41))),TEXT(DATE(2025,_xlfn.XMATCH(MIN(_xlfn._xlws.FILTER(_xlpm.v,_xlpm.v&gt;0)),_xlpm.v),1),"mmmm"))</f>
        <v>April</v>
      </c>
      <c r="N4" s="21" cm="1">
        <f t="array" ref="N4">_xlfn.LET(_xlpm.m,_xlfn.SEQUENCE(12),_xlpm.v,_xlfn.MAP(_xlpm.m,_xlfn.LAMBDA(_xlpm.x,SUMPRODUCT((YEAR($A$2:$A$41)=2025)*(MONTH($A$2:$A$41)=_xlpm.x)*$F$2:$F$41))),MIN(_xlfn._xlws.FILTER(_xlpm.v,_xlpm.v&gt;0)))</f>
        <v>2400</v>
      </c>
      <c r="O4" s="9" t="s">
        <v>116</v>
      </c>
    </row>
    <row r="5" spans="1:15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5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5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5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5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5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5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5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5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5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5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5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mergeCells count="1">
    <mergeCell ref="L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99D7-A9E3-4ABA-A78F-8F375D78F705}">
  <dimension ref="A1:M41"/>
  <sheetViews>
    <sheetView showGridLines="0" topLeftCell="H1" workbookViewId="0">
      <selection activeCell="X11" sqref="X11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8.44140625" bestFit="1" customWidth="1"/>
    <col min="13" max="13" width="10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</v>
      </c>
      <c r="M1" s="19" t="s">
        <v>15</v>
      </c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tr" cm="1">
        <f t="array" ref="L2:L5">_xlfn.LET(_xlpm.p,_xlfn.UNIQUE($C$2:$C$41),_xlfn.SORTBY(_xlpm.p,SUMIF($C$2:$C$41,_xlpm.p,$F$2:$F$41),-1))</f>
        <v>Laptop</v>
      </c>
      <c r="M2" s="6" cm="1">
        <f t="array" ref="M2:M5">SUMIF($C$2:$C$41,_xlfn.ANCHORARRAY(L2),$F$2:$F$41)</f>
        <v>139300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tr">
        <v>Monitor</v>
      </c>
      <c r="M3" s="6">
        <v>92600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t="str">
        <v>Keyboard</v>
      </c>
      <c r="M4" s="6">
        <v>42200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t="str">
        <v>Mouse</v>
      </c>
      <c r="M5" s="6">
        <v>31100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315A-4E79-4B4B-AF0B-004123D24A2D}">
  <dimension ref="A1:N41"/>
  <sheetViews>
    <sheetView showGridLines="0" topLeftCell="H1" workbookViewId="0">
      <selection activeCell="L1" sqref="L1:N14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8.44140625" bestFit="1" customWidth="1"/>
    <col min="13" max="13" width="11.21875" bestFit="1" customWidth="1"/>
    <col min="14" max="14" width="11" bestFit="1" customWidth="1"/>
  </cols>
  <sheetData>
    <row r="1" spans="1:14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</v>
      </c>
      <c r="M1" s="19" t="s">
        <v>92</v>
      </c>
      <c r="N1" s="19" t="s">
        <v>5</v>
      </c>
    </row>
    <row r="2" spans="1:14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">
        <v>7</v>
      </c>
      <c r="M2" s="6">
        <f>SUMIF($C$2:$C$41,L2,$F$2:$F$41)</f>
        <v>139300</v>
      </c>
      <c r="N2" s="6">
        <f>SUMIF($C$2:$C$41,L2,$H$2:$H$41)</f>
        <v>135000</v>
      </c>
    </row>
    <row r="3" spans="1:14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">
        <v>9</v>
      </c>
      <c r="M3" s="6">
        <f t="shared" ref="M3:M5" si="0">SUMIF($C$2:$C$41,L3,$F$2:$F$41)</f>
        <v>92600</v>
      </c>
      <c r="N3" s="6">
        <f t="shared" ref="N3:N5" si="1">SUMIF($C$2:$C$41,L3,$H$2:$H$41)</f>
        <v>93000</v>
      </c>
    </row>
    <row r="4" spans="1:14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t="s">
        <v>11</v>
      </c>
      <c r="M4" s="6">
        <f t="shared" si="0"/>
        <v>42200</v>
      </c>
      <c r="N4" s="6">
        <f t="shared" si="1"/>
        <v>40800</v>
      </c>
    </row>
    <row r="5" spans="1:14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t="s">
        <v>13</v>
      </c>
      <c r="M5" s="6">
        <f t="shared" si="0"/>
        <v>31100</v>
      </c>
      <c r="N5" s="6">
        <f t="shared" si="1"/>
        <v>30200</v>
      </c>
    </row>
    <row r="6" spans="1:14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4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4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4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4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4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4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4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4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4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4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F82E-73C4-49C4-B6AD-4990DD7AFB2D}">
  <dimension ref="A1:M41"/>
  <sheetViews>
    <sheetView showGridLines="0" topLeftCell="J1" workbookViewId="0">
      <selection activeCell="AA10" sqref="AA10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6.109375" bestFit="1" customWidth="1"/>
    <col min="13" max="13" width="10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96</v>
      </c>
      <c r="M1" s="19" t="s">
        <v>97</v>
      </c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">
        <v>98</v>
      </c>
      <c r="M2" s="6" cm="1">
        <f t="array" ref="M2">SUMPRODUCT((MONTH($A$2:$A$41)=ROW()-1)*$G$2:$G$41)</f>
        <v>7115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">
        <v>99</v>
      </c>
      <c r="M3" s="6" cm="1">
        <f t="array" ref="M3">SUMPRODUCT((MONTH($A$2:$A$41)=ROW()-1)*$G$2:$G$41)</f>
        <v>5180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t="s">
        <v>100</v>
      </c>
      <c r="M4" s="6" cm="1">
        <f t="array" ref="M4">SUMPRODUCT((MONTH($A$2:$A$41)=ROW()-1)*$G$2:$G$41)</f>
        <v>3750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t="s">
        <v>101</v>
      </c>
      <c r="M5" s="6" cm="1">
        <f t="array" ref="M5">SUMPRODUCT((MONTH($A$2:$A$41)=ROW()-1)*$G$2:$G$41)</f>
        <v>5755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L6" t="s">
        <v>102</v>
      </c>
      <c r="M6" s="6" cm="1">
        <f t="array" ref="M6">SUMPRODUCT((MONTH($A$2:$A$41)=ROW()-1)*$G$2:$G$41)</f>
        <v>3985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L7" t="s">
        <v>103</v>
      </c>
      <c r="M7" s="6" cm="1">
        <f t="array" ref="M7">SUMPRODUCT((MONTH($A$2:$A$41)=ROW()-1)*$G$2:$G$41)</f>
        <v>6600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L8" t="s">
        <v>104</v>
      </c>
      <c r="M8" s="6" cm="1">
        <f t="array" ref="M8">SUMPRODUCT((MONTH($A$2:$A$41)=ROW()-1)*$G$2:$G$41)</f>
        <v>2800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L9" t="s">
        <v>105</v>
      </c>
      <c r="M9" s="6" cm="1">
        <f t="array" ref="M9">SUMPRODUCT((MONTH($A$2:$A$41)=ROW()-1)*$G$2:$G$41)</f>
        <v>7275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  <c r="L10" t="s">
        <v>106</v>
      </c>
      <c r="M10" s="6" cm="1">
        <f t="array" ref="M10">SUMPRODUCT((MONTH($A$2:$A$41)=ROW()-1)*$G$2:$G$41)</f>
        <v>6215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  <c r="L11" t="s">
        <v>107</v>
      </c>
      <c r="M11" s="6" cm="1">
        <f t="array" ref="M11">SUMPRODUCT((MONTH($A$2:$A$41)=ROW()-1)*$G$2:$G$41)</f>
        <v>5320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  <c r="L12" t="s">
        <v>108</v>
      </c>
      <c r="M12" s="6" cm="1">
        <f t="array" ref="M12">SUMPRODUCT((MONTH($A$2:$A$41)=ROW()-1)*$G$2:$G$41)</f>
        <v>7585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  <c r="L13" t="s">
        <v>109</v>
      </c>
      <c r="M13" s="6" cm="1">
        <f t="array" ref="M13">SUMPRODUCT((MONTH($A$2:$A$41)=ROW()-1)*$G$2:$G$41)</f>
        <v>3125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3859-0A98-48D7-95B5-C730E0BC16BB}">
  <dimension ref="A1:M41"/>
  <sheetViews>
    <sheetView showGridLines="0" topLeftCell="I1" workbookViewId="0">
      <selection activeCell="L16" sqref="L16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3.44140625" bestFit="1" customWidth="1"/>
    <col min="13" max="13" width="12.44140625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18</v>
      </c>
      <c r="M1" s="19" t="s">
        <v>87</v>
      </c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tr" cm="1">
        <f t="array" ref="L2:L6">_xlfn.LET(_xlpm.c,_xlfn.UNIQUE($B$2:$B$41),_xlfn.SORTBY(_xlpm.c,SUMIF($B$2:$B$41,_xlpm.c,$F$2:$F$41),-1))</f>
        <v>Global Stores</v>
      </c>
      <c r="M2" s="6" cm="1">
        <f t="array" ref="M2:M6">SUMIF($B$2:$B$41,_xlfn.ANCHORARRAY(L2),$F$2:$F$41)</f>
        <v>99000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tr">
        <v>City Electronics</v>
      </c>
      <c r="M3" s="6">
        <v>71800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t="str">
        <v>ABC Retail</v>
      </c>
      <c r="M4" s="6">
        <v>69400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t="str">
        <v>Prime Mart</v>
      </c>
      <c r="M5" s="6">
        <v>33900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L6" t="str">
        <v>Tech World</v>
      </c>
      <c r="M6" s="6">
        <v>31100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3925-08E8-471D-B74D-1DBB1A7E6710}">
  <sheetPr>
    <tabColor theme="9"/>
  </sheetPr>
  <dimension ref="A1:M41"/>
  <sheetViews>
    <sheetView showGridLines="0" topLeftCell="F1" workbookViewId="0">
      <selection activeCell="Q21" sqref="Q21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0.88671875" bestFit="1" customWidth="1"/>
    <col min="13" max="13" width="10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19</v>
      </c>
      <c r="M1" s="19" t="s">
        <v>15</v>
      </c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">
        <v>22</v>
      </c>
      <c r="M2" s="6">
        <f>SUMIF($D$2:$D$41,L2,$F$2:$F$41)</f>
        <v>231900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">
        <v>25</v>
      </c>
      <c r="M3" s="6">
        <f t="shared" ref="M3" si="0">SUMIF($D$2:$D$41,L3,$F$2:$F$41)</f>
        <v>73300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C5E0-212B-4A54-801D-DC0787C3FF98}">
  <dimension ref="A1:N41"/>
  <sheetViews>
    <sheetView showGridLines="0" topLeftCell="K1" workbookViewId="0">
      <selection activeCell="Y14" sqref="Y14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0.88671875" bestFit="1" customWidth="1"/>
    <col min="13" max="13" width="10" bestFit="1" customWidth="1"/>
  </cols>
  <sheetData>
    <row r="1" spans="1:14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19</v>
      </c>
      <c r="M1" s="19" t="s">
        <v>15</v>
      </c>
      <c r="N1" s="19" t="s">
        <v>117</v>
      </c>
    </row>
    <row r="2" spans="1:14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">
        <v>22</v>
      </c>
      <c r="M2" s="6">
        <f>SUMIF($D$2:$D$41,L2,$F$2:$F$41)</f>
        <v>231900</v>
      </c>
      <c r="N2" s="42">
        <f>M2/SUM($F$2:$F$41)</f>
        <v>0.759829619921363</v>
      </c>
    </row>
    <row r="3" spans="1:14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">
        <v>25</v>
      </c>
      <c r="M3" s="6">
        <f t="shared" ref="M3" si="0">SUMIF($D$2:$D$41,L3,$F$2:$F$41)</f>
        <v>73300</v>
      </c>
      <c r="N3" s="42">
        <f t="shared" ref="N3" si="1">M3/SUM($F$2:$F$41)</f>
        <v>0.24017038007863695</v>
      </c>
    </row>
    <row r="4" spans="1:14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4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4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4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4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4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4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4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4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4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4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4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4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E4D8-B3A5-4CDB-9A4E-6291F33F2DFD}">
  <dimension ref="A1:N41"/>
  <sheetViews>
    <sheetView showGridLines="0" topLeftCell="B1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8.5546875" customWidth="1"/>
    <col min="13" max="14" width="15.77734375" customWidth="1"/>
  </cols>
  <sheetData>
    <row r="1" spans="1:14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</v>
      </c>
      <c r="M1" s="19" t="s">
        <v>92</v>
      </c>
      <c r="N1" s="19" t="s">
        <v>5</v>
      </c>
    </row>
    <row r="2" spans="1:14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">
        <v>7</v>
      </c>
      <c r="M2" s="6">
        <f>SUMIF($C$2:$C$41,L2,$F$2:$F$41)</f>
        <v>139300</v>
      </c>
      <c r="N2" s="6">
        <f>SUMIF($C$2:$C$41,L2,$H$2:$H$41)</f>
        <v>135000</v>
      </c>
    </row>
    <row r="3" spans="1:14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">
        <v>9</v>
      </c>
      <c r="M3" s="6">
        <f t="shared" ref="M3:M5" si="0">SUMIF($C$2:$C$41,L3,$F$2:$F$41)</f>
        <v>92600</v>
      </c>
      <c r="N3" s="6">
        <f t="shared" ref="N3:N5" si="1">SUMIF($C$2:$C$41,L3,$H$2:$H$41)</f>
        <v>93000</v>
      </c>
    </row>
    <row r="4" spans="1:14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t="s">
        <v>11</v>
      </c>
      <c r="M4" s="6">
        <f t="shared" si="0"/>
        <v>42200</v>
      </c>
      <c r="N4" s="6">
        <f t="shared" si="1"/>
        <v>40800</v>
      </c>
    </row>
    <row r="5" spans="1:14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t="s">
        <v>13</v>
      </c>
      <c r="M5" s="6">
        <f t="shared" si="0"/>
        <v>31100</v>
      </c>
      <c r="N5" s="6">
        <f t="shared" si="1"/>
        <v>30200</v>
      </c>
    </row>
    <row r="6" spans="1:14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4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L7" s="84" t="s">
        <v>118</v>
      </c>
      <c r="M7" s="84"/>
      <c r="N7" s="84"/>
    </row>
    <row r="8" spans="1:14" ht="36" customHeight="1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L8" s="73" t="s">
        <v>119</v>
      </c>
      <c r="M8" s="73"/>
      <c r="N8" s="73"/>
    </row>
    <row r="9" spans="1:14" ht="36" customHeight="1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L9" s="73"/>
      <c r="M9" s="73"/>
      <c r="N9" s="73"/>
    </row>
    <row r="10" spans="1:14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4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4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4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4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4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4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mergeCells count="2">
    <mergeCell ref="L7:N7"/>
    <mergeCell ref="L8:N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8010-A8FD-4FF8-9361-DCE989025666}">
  <dimension ref="A1:K41"/>
  <sheetViews>
    <sheetView showGridLines="0" workbookViewId="0">
      <selection activeCell="M13" sqref="M13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1" max="11" width="8.88671875" customWidth="1"/>
  </cols>
  <sheetData>
    <row r="1" spans="1:11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K1" s="43" t="s">
        <v>120</v>
      </c>
    </row>
    <row r="2" spans="1:11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K2" t="str">
        <f>IF(COUNTIFS($A$2:$A$41,A2,$B$2:$B$41,B2,$C$2:$C$41,C2,$D$2:$D$41,D2,$E$2:$E$41,E2,$F$2:$F$41,F2,$G$2:$G$41,G2,$H$2:$H$41,H2,$I$2:$I$41,I2,$J$2:$J$41,J2)&gt;1,"Duplicate","Unique")</f>
        <v>Unique</v>
      </c>
    </row>
    <row r="3" spans="1:11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K3" t="str">
        <f t="shared" ref="K3:K41" si="0">IF(COUNTIFS($A$2:$A$41,A3,$B$2:$B$41,B3,$C$2:$C$41,C3,$D$2:$D$41,D3,$E$2:$E$41,E3,$F$2:$F$41,F3,$G$2:$G$41,G3,$H$2:$H$41,H3,$I$2:$I$41,I3,$J$2:$J$41,J3)&gt;1,"Duplicate","Unique")</f>
        <v>Unique</v>
      </c>
    </row>
    <row r="4" spans="1:11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K4" t="str">
        <f t="shared" si="0"/>
        <v>Unique</v>
      </c>
    </row>
    <row r="5" spans="1:11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K5" t="str">
        <f t="shared" si="0"/>
        <v>Unique</v>
      </c>
    </row>
    <row r="6" spans="1:11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K6" t="str">
        <f t="shared" si="0"/>
        <v>Unique</v>
      </c>
    </row>
    <row r="7" spans="1:11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K7" t="str">
        <f t="shared" si="0"/>
        <v>Unique</v>
      </c>
    </row>
    <row r="8" spans="1:11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K8" t="str">
        <f t="shared" si="0"/>
        <v>Unique</v>
      </c>
    </row>
    <row r="9" spans="1:11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K9" t="str">
        <f t="shared" si="0"/>
        <v>Unique</v>
      </c>
    </row>
    <row r="10" spans="1:11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  <c r="K10" t="str">
        <f t="shared" si="0"/>
        <v>Unique</v>
      </c>
    </row>
    <row r="11" spans="1:11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  <c r="K11" t="str">
        <f t="shared" si="0"/>
        <v>Unique</v>
      </c>
    </row>
    <row r="12" spans="1:11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  <c r="K12" t="str">
        <f t="shared" si="0"/>
        <v>Unique</v>
      </c>
    </row>
    <row r="13" spans="1:11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  <c r="K13" t="str">
        <f t="shared" si="0"/>
        <v>Unique</v>
      </c>
    </row>
    <row r="14" spans="1:11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  <c r="K14" t="str">
        <f t="shared" si="0"/>
        <v>Unique</v>
      </c>
    </row>
    <row r="15" spans="1:11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  <c r="K15" t="str">
        <f t="shared" si="0"/>
        <v>Unique</v>
      </c>
    </row>
    <row r="16" spans="1:11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  <c r="K16" t="str">
        <f t="shared" si="0"/>
        <v>Unique</v>
      </c>
    </row>
    <row r="17" spans="1:11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  <c r="K17" t="str">
        <f t="shared" si="0"/>
        <v>Unique</v>
      </c>
    </row>
    <row r="18" spans="1:11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  <c r="K18" t="str">
        <f t="shared" si="0"/>
        <v>Unique</v>
      </c>
    </row>
    <row r="19" spans="1:11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  <c r="K19" t="str">
        <f t="shared" si="0"/>
        <v>Unique</v>
      </c>
    </row>
    <row r="20" spans="1:11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  <c r="K20" t="str">
        <f t="shared" si="0"/>
        <v>Unique</v>
      </c>
    </row>
    <row r="21" spans="1:11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  <c r="K21" t="str">
        <f t="shared" si="0"/>
        <v>Unique</v>
      </c>
    </row>
    <row r="22" spans="1:11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  <c r="K22" t="str">
        <f t="shared" si="0"/>
        <v>Unique</v>
      </c>
    </row>
    <row r="23" spans="1:11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  <c r="K23" t="str">
        <f t="shared" si="0"/>
        <v>Unique</v>
      </c>
    </row>
    <row r="24" spans="1:11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  <c r="K24" t="str">
        <f t="shared" si="0"/>
        <v>Unique</v>
      </c>
    </row>
    <row r="25" spans="1:11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  <c r="K25" t="str">
        <f t="shared" si="0"/>
        <v>Unique</v>
      </c>
    </row>
    <row r="26" spans="1:11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  <c r="K26" t="str">
        <f t="shared" si="0"/>
        <v>Unique</v>
      </c>
    </row>
    <row r="27" spans="1:11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  <c r="K27" t="str">
        <f t="shared" si="0"/>
        <v>Unique</v>
      </c>
    </row>
    <row r="28" spans="1:11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  <c r="K28" t="str">
        <f t="shared" si="0"/>
        <v>Unique</v>
      </c>
    </row>
    <row r="29" spans="1:11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  <c r="K29" t="str">
        <f t="shared" si="0"/>
        <v>Unique</v>
      </c>
    </row>
    <row r="30" spans="1:11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  <c r="K30" t="str">
        <f t="shared" si="0"/>
        <v>Unique</v>
      </c>
    </row>
    <row r="31" spans="1:11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  <c r="K31" t="str">
        <f t="shared" si="0"/>
        <v>Unique</v>
      </c>
    </row>
    <row r="32" spans="1:11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  <c r="K32" t="str">
        <f t="shared" si="0"/>
        <v>Unique</v>
      </c>
    </row>
    <row r="33" spans="1:11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  <c r="K33" t="str">
        <f t="shared" si="0"/>
        <v>Unique</v>
      </c>
    </row>
    <row r="34" spans="1:11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  <c r="K34" t="str">
        <f t="shared" si="0"/>
        <v>Unique</v>
      </c>
    </row>
    <row r="35" spans="1:11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  <c r="K35" t="str">
        <f t="shared" si="0"/>
        <v>Unique</v>
      </c>
    </row>
    <row r="36" spans="1:11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  <c r="K36" t="str">
        <f t="shared" si="0"/>
        <v>Unique</v>
      </c>
    </row>
    <row r="37" spans="1:11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  <c r="K37" t="str">
        <f t="shared" si="0"/>
        <v>Unique</v>
      </c>
    </row>
    <row r="38" spans="1:11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  <c r="K38" t="str">
        <f t="shared" si="0"/>
        <v>Unique</v>
      </c>
    </row>
    <row r="39" spans="1:11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  <c r="K39" t="str">
        <f t="shared" si="0"/>
        <v>Unique</v>
      </c>
    </row>
    <row r="40" spans="1:11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  <c r="K40" t="str">
        <f t="shared" si="0"/>
        <v>Unique</v>
      </c>
    </row>
    <row r="41" spans="1:11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  <c r="K41" t="str">
        <f t="shared" si="0"/>
        <v>Unique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7918-693C-4805-8ADA-7B8957E306D5}">
  <dimension ref="A1:J41"/>
  <sheetViews>
    <sheetView showGridLines="0" workbookViewId="0">
      <selection activeCell="B10" sqref="B10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6" max="6" width="10.21875" bestFit="1" customWidth="1"/>
    <col min="8" max="9" width="10.2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44">
        <v>3000</v>
      </c>
      <c r="I4" s="44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46">
        <v>38</v>
      </c>
    </row>
    <row r="9" spans="1:10" x14ac:dyDescent="0.3">
      <c r="A9" s="10">
        <v>46114</v>
      </c>
      <c r="B9" s="11" t="s">
        <v>121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45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221B-0CEF-41A0-9D3E-69BFCD5D19E0}">
  <dimension ref="A1:H17"/>
  <sheetViews>
    <sheetView showGridLines="0" workbookViewId="0">
      <selection activeCell="C8" sqref="A1:H17"/>
    </sheetView>
  </sheetViews>
  <sheetFormatPr defaultRowHeight="14.4" x14ac:dyDescent="0.3"/>
  <cols>
    <col min="1" max="1" width="9.5546875" bestFit="1" customWidth="1"/>
    <col min="8" max="8" width="11.21875" bestFit="1" customWidth="1"/>
  </cols>
  <sheetData>
    <row r="1" spans="1:8" ht="43.2" x14ac:dyDescent="0.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8" t="s">
        <v>17</v>
      </c>
    </row>
    <row r="2" spans="1:8" x14ac:dyDescent="0.3">
      <c r="A2" s="1">
        <v>46023</v>
      </c>
      <c r="B2" s="2" t="s">
        <v>7</v>
      </c>
      <c r="C2" s="2" t="s">
        <v>8</v>
      </c>
      <c r="D2" s="3">
        <v>12500</v>
      </c>
      <c r="E2" s="3">
        <v>2500</v>
      </c>
      <c r="F2" s="3">
        <v>12000</v>
      </c>
      <c r="G2" s="3">
        <v>10500</v>
      </c>
      <c r="H2" s="9" t="str">
        <f>IF(D2&gt;F2,"Above Target","Below Target")</f>
        <v>Above Target</v>
      </c>
    </row>
    <row r="3" spans="1:8" x14ac:dyDescent="0.3">
      <c r="A3" s="1">
        <v>46037</v>
      </c>
      <c r="B3" s="2" t="s">
        <v>9</v>
      </c>
      <c r="C3" s="2" t="s">
        <v>10</v>
      </c>
      <c r="D3" s="3">
        <v>8200</v>
      </c>
      <c r="E3" s="3">
        <v>1640</v>
      </c>
      <c r="F3" s="3">
        <v>9000</v>
      </c>
      <c r="G3" s="3">
        <v>7600</v>
      </c>
      <c r="H3" s="9" t="str">
        <f t="shared" ref="H3:H17" si="0">IF(D3&gt;F3,"Above Target","Below Target")</f>
        <v>Below Target</v>
      </c>
    </row>
    <row r="4" spans="1:8" x14ac:dyDescent="0.3">
      <c r="A4" s="1">
        <v>46050</v>
      </c>
      <c r="B4" s="2" t="s">
        <v>11</v>
      </c>
      <c r="C4" s="2" t="s">
        <v>12</v>
      </c>
      <c r="D4" s="3">
        <v>3500</v>
      </c>
      <c r="E4" s="3">
        <v>875</v>
      </c>
      <c r="F4" s="3">
        <v>3000</v>
      </c>
      <c r="G4" s="3">
        <v>3200</v>
      </c>
      <c r="H4" s="9" t="str">
        <f t="shared" si="0"/>
        <v>Above Target</v>
      </c>
    </row>
    <row r="5" spans="1:8" x14ac:dyDescent="0.3">
      <c r="A5" s="1">
        <v>46058</v>
      </c>
      <c r="B5" s="2" t="s">
        <v>13</v>
      </c>
      <c r="C5" s="2" t="s">
        <v>14</v>
      </c>
      <c r="D5" s="3">
        <v>2800</v>
      </c>
      <c r="E5" s="3">
        <v>700</v>
      </c>
      <c r="F5" s="3">
        <v>2500</v>
      </c>
      <c r="G5" s="3">
        <v>2400</v>
      </c>
      <c r="H5" s="9" t="str">
        <f t="shared" si="0"/>
        <v>Above Target</v>
      </c>
    </row>
    <row r="6" spans="1:8" x14ac:dyDescent="0.3">
      <c r="A6" s="1">
        <v>46071</v>
      </c>
      <c r="B6" s="2" t="s">
        <v>7</v>
      </c>
      <c r="C6" s="2" t="s">
        <v>10</v>
      </c>
      <c r="D6" s="3">
        <v>14800</v>
      </c>
      <c r="E6" s="3">
        <v>2960</v>
      </c>
      <c r="F6" s="3">
        <v>14000</v>
      </c>
      <c r="G6" s="3">
        <v>12500</v>
      </c>
      <c r="H6" s="9" t="str">
        <f t="shared" si="0"/>
        <v>Above Target</v>
      </c>
    </row>
    <row r="7" spans="1:8" x14ac:dyDescent="0.3">
      <c r="A7" s="1">
        <v>46084</v>
      </c>
      <c r="B7" s="2" t="s">
        <v>9</v>
      </c>
      <c r="C7" s="2" t="s">
        <v>8</v>
      </c>
      <c r="D7" s="3">
        <v>9500</v>
      </c>
      <c r="E7" s="3">
        <v>1900</v>
      </c>
      <c r="F7" s="3">
        <v>10000</v>
      </c>
      <c r="G7" s="3">
        <v>8800</v>
      </c>
      <c r="H7" s="9" t="str">
        <f t="shared" si="0"/>
        <v>Below Target</v>
      </c>
    </row>
    <row r="8" spans="1:8" x14ac:dyDescent="0.3">
      <c r="A8" s="1">
        <v>46098</v>
      </c>
      <c r="B8" s="2" t="s">
        <v>11</v>
      </c>
      <c r="C8" s="2" t="s">
        <v>12</v>
      </c>
      <c r="D8" s="3">
        <v>4200</v>
      </c>
      <c r="E8" s="3">
        <v>1050</v>
      </c>
      <c r="F8" s="3">
        <v>4000</v>
      </c>
      <c r="G8" s="3">
        <v>3600</v>
      </c>
      <c r="H8" s="9" t="str">
        <f t="shared" si="0"/>
        <v>Above Target</v>
      </c>
    </row>
    <row r="9" spans="1:8" x14ac:dyDescent="0.3">
      <c r="A9" s="1">
        <v>46114</v>
      </c>
      <c r="B9" s="2" t="s">
        <v>13</v>
      </c>
      <c r="C9" s="2" t="s">
        <v>14</v>
      </c>
      <c r="D9" s="3">
        <v>3100</v>
      </c>
      <c r="E9" s="3">
        <v>775</v>
      </c>
      <c r="F9" s="3">
        <v>3000</v>
      </c>
      <c r="G9" s="3">
        <v>2700</v>
      </c>
      <c r="H9" s="9" t="str">
        <f t="shared" si="0"/>
        <v>Above Target</v>
      </c>
    </row>
    <row r="10" spans="1:8" x14ac:dyDescent="0.3">
      <c r="A10" s="1">
        <v>46126</v>
      </c>
      <c r="B10" s="2" t="s">
        <v>7</v>
      </c>
      <c r="C10" s="2" t="s">
        <v>12</v>
      </c>
      <c r="D10" s="3">
        <v>13200</v>
      </c>
      <c r="E10" s="3">
        <v>2640</v>
      </c>
      <c r="F10" s="3">
        <v>13000</v>
      </c>
      <c r="G10" s="3">
        <v>11800</v>
      </c>
      <c r="H10" s="9" t="str">
        <f t="shared" si="0"/>
        <v>Above Target</v>
      </c>
    </row>
    <row r="11" spans="1:8" x14ac:dyDescent="0.3">
      <c r="A11" s="1">
        <v>46141</v>
      </c>
      <c r="B11" s="2" t="s">
        <v>9</v>
      </c>
      <c r="C11" s="2" t="s">
        <v>10</v>
      </c>
      <c r="D11" s="3">
        <v>8700</v>
      </c>
      <c r="E11" s="3">
        <v>1740</v>
      </c>
      <c r="F11" s="3">
        <v>8500</v>
      </c>
      <c r="G11" s="3">
        <v>8100</v>
      </c>
      <c r="H11" s="9" t="str">
        <f t="shared" si="0"/>
        <v>Above Target</v>
      </c>
    </row>
    <row r="12" spans="1:8" x14ac:dyDescent="0.3">
      <c r="A12" s="1">
        <v>46150</v>
      </c>
      <c r="B12" s="2" t="s">
        <v>11</v>
      </c>
      <c r="C12" s="2" t="s">
        <v>8</v>
      </c>
      <c r="D12" s="3">
        <v>3900</v>
      </c>
      <c r="E12" s="3">
        <v>975</v>
      </c>
      <c r="F12" s="3">
        <v>4000</v>
      </c>
      <c r="G12" s="3">
        <v>3500</v>
      </c>
      <c r="H12" s="9" t="str">
        <f t="shared" si="0"/>
        <v>Below Target</v>
      </c>
    </row>
    <row r="13" spans="1:8" x14ac:dyDescent="0.3">
      <c r="A13" s="1">
        <v>46163</v>
      </c>
      <c r="B13" s="2" t="s">
        <v>13</v>
      </c>
      <c r="C13" s="2" t="s">
        <v>14</v>
      </c>
      <c r="D13" s="3">
        <v>2600</v>
      </c>
      <c r="E13" s="3">
        <v>650</v>
      </c>
      <c r="F13" s="3">
        <v>2800</v>
      </c>
      <c r="G13" s="3">
        <v>2500</v>
      </c>
      <c r="H13" s="9" t="str">
        <f t="shared" si="0"/>
        <v>Below Target</v>
      </c>
    </row>
    <row r="14" spans="1:8" x14ac:dyDescent="0.3">
      <c r="A14" s="1">
        <v>46179</v>
      </c>
      <c r="B14" s="2" t="s">
        <v>7</v>
      </c>
      <c r="C14" s="2" t="s">
        <v>10</v>
      </c>
      <c r="D14" s="3">
        <v>15500</v>
      </c>
      <c r="E14" s="3">
        <v>3100</v>
      </c>
      <c r="F14" s="3">
        <v>15000</v>
      </c>
      <c r="G14" s="3">
        <v>13200</v>
      </c>
      <c r="H14" s="9" t="str">
        <f t="shared" si="0"/>
        <v>Above Target</v>
      </c>
    </row>
    <row r="15" spans="1:8" x14ac:dyDescent="0.3">
      <c r="A15" s="1">
        <v>46192</v>
      </c>
      <c r="B15" s="2" t="s">
        <v>9</v>
      </c>
      <c r="C15" s="2" t="s">
        <v>12</v>
      </c>
      <c r="D15" s="3">
        <v>9100</v>
      </c>
      <c r="E15" s="3">
        <v>1820</v>
      </c>
      <c r="F15" s="3">
        <v>9000</v>
      </c>
      <c r="G15" s="3">
        <v>8400</v>
      </c>
      <c r="H15" s="9" t="str">
        <f t="shared" si="0"/>
        <v>Above Target</v>
      </c>
    </row>
    <row r="16" spans="1:8" x14ac:dyDescent="0.3">
      <c r="A16" s="1">
        <v>46207</v>
      </c>
      <c r="B16" s="2" t="s">
        <v>11</v>
      </c>
      <c r="C16" s="2" t="s">
        <v>8</v>
      </c>
      <c r="D16" s="3">
        <v>4500</v>
      </c>
      <c r="E16" s="3">
        <v>1125</v>
      </c>
      <c r="F16" s="3">
        <v>4200</v>
      </c>
      <c r="G16" s="3">
        <v>3900</v>
      </c>
      <c r="H16" s="9" t="str">
        <f t="shared" si="0"/>
        <v>Above Target</v>
      </c>
    </row>
    <row r="17" spans="1:8" x14ac:dyDescent="0.3">
      <c r="A17" s="1">
        <v>46219</v>
      </c>
      <c r="B17" s="2" t="s">
        <v>13</v>
      </c>
      <c r="C17" s="2" t="s">
        <v>14</v>
      </c>
      <c r="D17" s="3">
        <v>3200</v>
      </c>
      <c r="E17" s="3">
        <v>800</v>
      </c>
      <c r="F17" s="3">
        <v>3000</v>
      </c>
      <c r="G17" s="3">
        <v>2900</v>
      </c>
      <c r="H17" s="9" t="str">
        <f t="shared" si="0"/>
        <v>Above Target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288B-01AC-4319-8805-BF7BA9C88F0C}">
  <dimension ref="A1:O41"/>
  <sheetViews>
    <sheetView showGridLines="0" topLeftCell="D1" workbookViewId="0">
      <selection activeCell="H16" sqref="H16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4.33203125" bestFit="1" customWidth="1"/>
    <col min="13" max="13" width="12.21875" bestFit="1" customWidth="1"/>
    <col min="14" max="14" width="15.109375" bestFit="1" customWidth="1"/>
    <col min="15" max="15" width="36.5546875" bestFit="1" customWidth="1"/>
  </cols>
  <sheetData>
    <row r="1" spans="1:15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9" t="s">
        <v>122</v>
      </c>
      <c r="M1" s="19" t="s">
        <v>123</v>
      </c>
      <c r="N1" s="19" t="s">
        <v>124</v>
      </c>
      <c r="O1" s="19" t="s">
        <v>125</v>
      </c>
    </row>
    <row r="2" spans="1:15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">
        <v>126</v>
      </c>
      <c r="M2" s="6">
        <v>140000</v>
      </c>
      <c r="N2" s="6">
        <v>14000</v>
      </c>
      <c r="O2" t="s">
        <v>127</v>
      </c>
    </row>
    <row r="3" spans="1:15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t="s">
        <v>128</v>
      </c>
      <c r="M3" s="6">
        <v>900000</v>
      </c>
      <c r="N3" s="6">
        <v>9000</v>
      </c>
      <c r="O3" t="s">
        <v>129</v>
      </c>
    </row>
    <row r="4" spans="1:15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5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5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47">
        <v>140000</v>
      </c>
      <c r="I6" s="12">
        <v>12500</v>
      </c>
      <c r="J6" s="12">
        <v>29</v>
      </c>
    </row>
    <row r="7" spans="1:15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5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5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5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5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5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5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5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5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47">
        <v>900000</v>
      </c>
      <c r="I15" s="12">
        <v>8400</v>
      </c>
      <c r="J15" s="12">
        <v>22</v>
      </c>
    </row>
    <row r="16" spans="1:15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9838-2D66-47A4-A575-7F92A9F7C496}">
  <dimension ref="A1:J41"/>
  <sheetViews>
    <sheetView showGridLines="0" workbookViewId="0">
      <selection activeCell="M22" sqref="M22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C07D-700A-45E7-822C-00A14400FAD1}">
  <dimension ref="A1:J41"/>
  <sheetViews>
    <sheetView showGridLines="0" workbookViewId="0">
      <selection activeCell="B19" sqref="B19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130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131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01BA-5B41-4CC6-82DD-1C05F0FFA176}">
  <dimension ref="A1:J41"/>
  <sheetViews>
    <sheetView showGridLines="0" workbookViewId="0">
      <selection activeCell="B20" sqref="B20"/>
    </sheetView>
  </sheetViews>
  <sheetFormatPr defaultRowHeight="14.4" x14ac:dyDescent="0.3"/>
  <cols>
    <col min="1" max="1" width="9.5546875" bestFit="1" customWidth="1"/>
    <col min="2" max="2" width="14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133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132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134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135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136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1471-F261-4E88-B3DD-78143B130831}">
  <dimension ref="A1:J41"/>
  <sheetViews>
    <sheetView showGridLines="0" workbookViewId="0">
      <selection activeCell="J8" sqref="J8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/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/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F859-1DB4-4BA0-8724-0A15B6673FB5}">
  <dimension ref="A1:J62"/>
  <sheetViews>
    <sheetView showGridLines="0" workbookViewId="0"/>
  </sheetViews>
  <sheetFormatPr defaultRowHeight="14.4" x14ac:dyDescent="0.3"/>
  <cols>
    <col min="1" max="1" width="10.21875" customWidth="1"/>
    <col min="2" max="2" width="17.5546875" customWidth="1"/>
    <col min="3" max="3" width="26.88671875" customWidth="1"/>
    <col min="4" max="4" width="14.77734375" customWidth="1"/>
    <col min="5" max="7" width="10.21875" customWidth="1"/>
    <col min="8" max="8" width="16.6640625" customWidth="1"/>
    <col min="9" max="9" width="10.21875" customWidth="1"/>
    <col min="10" max="10" width="12" customWidth="1"/>
  </cols>
  <sheetData>
    <row r="1" spans="1:10" s="17" customFormat="1" ht="28.8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137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138</v>
      </c>
      <c r="B45" s="77"/>
      <c r="C45" s="77"/>
      <c r="D45" s="77"/>
      <c r="E45" s="77"/>
      <c r="F45" s="77"/>
      <c r="G45" s="77"/>
      <c r="H45" s="77"/>
      <c r="I45" s="77"/>
      <c r="J45" s="77"/>
    </row>
    <row r="47" spans="1:10" x14ac:dyDescent="0.3">
      <c r="A47" s="75" t="s">
        <v>139</v>
      </c>
      <c r="B47" s="75"/>
      <c r="C47" s="75"/>
      <c r="D47" s="75"/>
      <c r="E47" s="75"/>
      <c r="F47" s="75"/>
      <c r="G47" s="75"/>
      <c r="H47" s="75"/>
      <c r="I47" s="75"/>
      <c r="J47" s="75"/>
    </row>
    <row r="48" spans="1:10" x14ac:dyDescent="0.3">
      <c r="A48" s="81" t="s">
        <v>140</v>
      </c>
      <c r="B48" s="81"/>
      <c r="C48" s="81" t="s">
        <v>141</v>
      </c>
      <c r="D48" s="81"/>
      <c r="E48" s="81" t="s">
        <v>142</v>
      </c>
      <c r="F48" s="81"/>
      <c r="G48" s="81" t="s">
        <v>143</v>
      </c>
      <c r="H48" s="81"/>
      <c r="I48" s="81" t="s">
        <v>144</v>
      </c>
      <c r="J48" s="81"/>
    </row>
    <row r="49" spans="1:10" ht="18" x14ac:dyDescent="0.35">
      <c r="A49" s="86">
        <f>COUNTA($A$2:$A$41)</f>
        <v>40</v>
      </c>
      <c r="B49" s="86"/>
      <c r="C49" s="86">
        <f>COUNTBLANK($A$2:$J$41)</f>
        <v>0</v>
      </c>
      <c r="D49" s="86"/>
      <c r="E49" s="86">
        <v>0</v>
      </c>
      <c r="F49" s="86"/>
      <c r="G49" s="86" cm="1">
        <f t="array" ref="G49">SUMPRODUCT(--($A$3:$A$41&lt;$A$2:$A$40))</f>
        <v>1</v>
      </c>
      <c r="H49" s="86"/>
      <c r="I49" s="86" t="s">
        <v>145</v>
      </c>
      <c r="J49" s="86"/>
    </row>
    <row r="51" spans="1:10" x14ac:dyDescent="0.3">
      <c r="A51" s="20" t="s">
        <v>46</v>
      </c>
      <c r="B51" s="20" t="s">
        <v>146</v>
      </c>
      <c r="C51" s="20" t="s">
        <v>147</v>
      </c>
      <c r="D51" s="20" t="s">
        <v>148</v>
      </c>
      <c r="E51" s="20"/>
      <c r="F51" s="20"/>
      <c r="G51" s="20"/>
      <c r="H51" s="20" t="s">
        <v>149</v>
      </c>
      <c r="I51" s="20"/>
      <c r="J51" s="20" t="s">
        <v>95</v>
      </c>
    </row>
    <row r="52" spans="1:10" x14ac:dyDescent="0.3">
      <c r="A52" s="48" t="s">
        <v>150</v>
      </c>
      <c r="B52" s="48" t="s">
        <v>151</v>
      </c>
      <c r="C52" s="48" t="s">
        <v>152</v>
      </c>
      <c r="D52" s="85" t="s">
        <v>169</v>
      </c>
      <c r="E52" s="85"/>
      <c r="F52" s="85"/>
      <c r="G52" s="85"/>
      <c r="H52" s="85" t="s">
        <v>177</v>
      </c>
      <c r="I52" s="85"/>
      <c r="J52" s="49" t="s">
        <v>185</v>
      </c>
    </row>
    <row r="53" spans="1:10" x14ac:dyDescent="0.3">
      <c r="A53" s="48" t="s">
        <v>150</v>
      </c>
      <c r="B53" s="48" t="s">
        <v>153</v>
      </c>
      <c r="C53" s="48" t="s">
        <v>154</v>
      </c>
      <c r="D53" s="85" t="s">
        <v>170</v>
      </c>
      <c r="E53" s="85"/>
      <c r="F53" s="85"/>
      <c r="G53" s="85"/>
      <c r="H53" s="85" t="s">
        <v>178</v>
      </c>
      <c r="I53" s="85"/>
      <c r="J53" s="49" t="s">
        <v>185</v>
      </c>
    </row>
    <row r="54" spans="1:10" x14ac:dyDescent="0.3">
      <c r="A54" s="48" t="s">
        <v>150</v>
      </c>
      <c r="B54" s="48" t="s">
        <v>155</v>
      </c>
      <c r="C54" s="48" t="s">
        <v>156</v>
      </c>
      <c r="D54" s="85" t="s">
        <v>171</v>
      </c>
      <c r="E54" s="85"/>
      <c r="F54" s="85"/>
      <c r="G54" s="85"/>
      <c r="H54" s="85" t="s">
        <v>179</v>
      </c>
      <c r="I54" s="85"/>
      <c r="J54" s="49" t="s">
        <v>185</v>
      </c>
    </row>
    <row r="55" spans="1:10" x14ac:dyDescent="0.3">
      <c r="A55" s="48" t="s">
        <v>157</v>
      </c>
      <c r="B55" s="48" t="s">
        <v>158</v>
      </c>
      <c r="C55" s="48" t="s">
        <v>159</v>
      </c>
      <c r="D55" s="85" t="s">
        <v>172</v>
      </c>
      <c r="E55" s="85"/>
      <c r="F55" s="85"/>
      <c r="G55" s="85"/>
      <c r="H55" s="85" t="s">
        <v>180</v>
      </c>
      <c r="I55" s="85"/>
      <c r="J55" s="49" t="s">
        <v>185</v>
      </c>
    </row>
    <row r="56" spans="1:10" x14ac:dyDescent="0.3">
      <c r="A56" s="48" t="s">
        <v>157</v>
      </c>
      <c r="B56" s="48" t="s">
        <v>160</v>
      </c>
      <c r="C56" s="48" t="s">
        <v>161</v>
      </c>
      <c r="D56" s="85" t="s">
        <v>173</v>
      </c>
      <c r="E56" s="85"/>
      <c r="F56" s="85"/>
      <c r="G56" s="85"/>
      <c r="H56" s="85" t="s">
        <v>181</v>
      </c>
      <c r="I56" s="85"/>
      <c r="J56" s="49" t="s">
        <v>185</v>
      </c>
    </row>
    <row r="57" spans="1:10" x14ac:dyDescent="0.3">
      <c r="A57" s="48" t="s">
        <v>157</v>
      </c>
      <c r="B57" s="48" t="s">
        <v>162</v>
      </c>
      <c r="C57" s="48" t="s">
        <v>163</v>
      </c>
      <c r="D57" s="85" t="s">
        <v>174</v>
      </c>
      <c r="E57" s="85"/>
      <c r="F57" s="85"/>
      <c r="G57" s="85"/>
      <c r="H57" s="85" t="s">
        <v>182</v>
      </c>
      <c r="I57" s="85"/>
      <c r="J57" s="49" t="s">
        <v>185</v>
      </c>
    </row>
    <row r="58" spans="1:10" x14ac:dyDescent="0.3">
      <c r="A58" s="48" t="s">
        <v>52</v>
      </c>
      <c r="B58" s="48" t="s">
        <v>164</v>
      </c>
      <c r="C58" s="48" t="s">
        <v>165</v>
      </c>
      <c r="D58" s="85" t="s">
        <v>175</v>
      </c>
      <c r="E58" s="85"/>
      <c r="F58" s="85"/>
      <c r="G58" s="85"/>
      <c r="H58" s="85" t="s">
        <v>183</v>
      </c>
      <c r="I58" s="85"/>
      <c r="J58" s="50" t="s">
        <v>186</v>
      </c>
    </row>
    <row r="59" spans="1:10" x14ac:dyDescent="0.3">
      <c r="A59" s="48" t="s">
        <v>166</v>
      </c>
      <c r="B59" s="48" t="s">
        <v>167</v>
      </c>
      <c r="C59" s="48" t="s">
        <v>168</v>
      </c>
      <c r="D59" s="85" t="s">
        <v>176</v>
      </c>
      <c r="E59" s="85"/>
      <c r="F59" s="85"/>
      <c r="G59" s="85"/>
      <c r="H59" s="85" t="s">
        <v>184</v>
      </c>
      <c r="I59" s="85"/>
      <c r="J59" s="51" t="s">
        <v>187</v>
      </c>
    </row>
    <row r="61" spans="1:10" x14ac:dyDescent="0.3">
      <c r="A61" s="75" t="s">
        <v>44</v>
      </c>
      <c r="B61" s="75"/>
      <c r="C61" s="75"/>
      <c r="D61" s="75"/>
      <c r="E61" s="75"/>
      <c r="F61" s="75"/>
      <c r="G61" s="75"/>
      <c r="H61" s="75"/>
      <c r="I61" s="75"/>
      <c r="J61" s="75"/>
    </row>
    <row r="62" spans="1:10" ht="42" customHeight="1" x14ac:dyDescent="0.3">
      <c r="A62" s="73" t="s">
        <v>188</v>
      </c>
      <c r="B62" s="73"/>
      <c r="C62" s="73"/>
      <c r="D62" s="73"/>
      <c r="E62" s="73"/>
      <c r="F62" s="73"/>
      <c r="G62" s="73"/>
      <c r="H62" s="73"/>
      <c r="I62" s="73"/>
      <c r="J62" s="73"/>
    </row>
  </sheetData>
  <mergeCells count="31">
    <mergeCell ref="A44:J44"/>
    <mergeCell ref="A45:J45"/>
    <mergeCell ref="A47:J47"/>
    <mergeCell ref="A48:B48"/>
    <mergeCell ref="A49:B49"/>
    <mergeCell ref="C48:D48"/>
    <mergeCell ref="C49:D49"/>
    <mergeCell ref="E48:F48"/>
    <mergeCell ref="E49:F49"/>
    <mergeCell ref="G48:H48"/>
    <mergeCell ref="G49:H49"/>
    <mergeCell ref="I48:J48"/>
    <mergeCell ref="I49:J49"/>
    <mergeCell ref="H52:I52"/>
    <mergeCell ref="D54:G54"/>
    <mergeCell ref="H54:I54"/>
    <mergeCell ref="D55:G55"/>
    <mergeCell ref="H55:I55"/>
    <mergeCell ref="D53:G53"/>
    <mergeCell ref="H53:I53"/>
    <mergeCell ref="D52:G52"/>
    <mergeCell ref="D56:G56"/>
    <mergeCell ref="H56:I56"/>
    <mergeCell ref="A61:J61"/>
    <mergeCell ref="A62:J62"/>
    <mergeCell ref="D57:G57"/>
    <mergeCell ref="H57:I57"/>
    <mergeCell ref="D58:G58"/>
    <mergeCell ref="H58:I58"/>
    <mergeCell ref="D59:G59"/>
    <mergeCell ref="H59:I5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4AB0-8F7F-4DF6-A5E3-EFB2A67A60C7}">
  <dimension ref="A1:M41"/>
  <sheetViews>
    <sheetView showGridLines="0" workbookViewId="0">
      <selection activeCell="M18" sqref="M18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3" width="14.5546875" customWidth="1"/>
  </cols>
  <sheetData>
    <row r="1" spans="1:13" s="17" customFormat="1" ht="43.2" x14ac:dyDescent="0.35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87" t="s">
        <v>189</v>
      </c>
      <c r="M1" s="87"/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s="41" t="s">
        <v>190</v>
      </c>
      <c r="M2" s="41" t="s">
        <v>191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s="9" t="s">
        <v>3</v>
      </c>
      <c r="M3" s="21">
        <f>SUM($F$2:$F$41)</f>
        <v>305200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s="9" t="s">
        <v>4</v>
      </c>
      <c r="M4" s="21">
        <f>SUM($G$2:$G$41)</f>
        <v>64705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s="9" t="s">
        <v>20</v>
      </c>
      <c r="M5" s="21">
        <f>SUM($J$2:$J$41)</f>
        <v>1332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mergeCells count="1">
    <mergeCell ref="L1:M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6AB53-EBDF-40CB-96A0-6F728A849D3F}">
  <dimension ref="A1:J58"/>
  <sheetViews>
    <sheetView showGridLines="0" topLeftCell="A41" workbookViewId="0"/>
  </sheetViews>
  <sheetFormatPr defaultRowHeight="14.4" x14ac:dyDescent="0.3"/>
  <cols>
    <col min="1" max="1" width="13.33203125" customWidth="1"/>
    <col min="2" max="2" width="17.5546875" customWidth="1"/>
    <col min="3" max="3" width="13" customWidth="1"/>
    <col min="4" max="4" width="14.77734375" customWidth="1"/>
    <col min="5" max="5" width="12" customWidth="1"/>
    <col min="6" max="7" width="13.88671875" customWidth="1"/>
    <col min="8" max="8" width="15.21875" customWidth="1"/>
    <col min="9" max="9" width="19.44140625" customWidth="1"/>
    <col min="10" max="10" width="10.21875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192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193</v>
      </c>
      <c r="B45" s="77"/>
      <c r="C45" s="77"/>
      <c r="D45" s="77"/>
      <c r="E45" s="77"/>
      <c r="F45" s="77"/>
      <c r="G45" s="77"/>
      <c r="H45" s="77"/>
      <c r="I45" s="77"/>
      <c r="J45" s="77"/>
    </row>
    <row r="47" spans="1:10" x14ac:dyDescent="0.3">
      <c r="A47" s="81" t="s">
        <v>32</v>
      </c>
      <c r="B47" s="81"/>
      <c r="C47" s="81" t="s">
        <v>194</v>
      </c>
      <c r="D47" s="81"/>
      <c r="E47" s="81" t="s">
        <v>33</v>
      </c>
      <c r="F47" s="81"/>
      <c r="G47" s="81" t="s">
        <v>35</v>
      </c>
      <c r="H47" s="81"/>
      <c r="I47" s="81" t="s">
        <v>34</v>
      </c>
      <c r="J47" s="81"/>
    </row>
    <row r="48" spans="1:10" ht="21" x14ac:dyDescent="0.4">
      <c r="A48" s="89">
        <f>SUM($F$2:$F$41)</f>
        <v>305200</v>
      </c>
      <c r="B48" s="89"/>
      <c r="C48" s="89">
        <f>SUM($G$2:$G$41)</f>
        <v>64705</v>
      </c>
      <c r="D48" s="89"/>
      <c r="E48" s="88">
        <f>SUM($G$2:$G$41)/SUM($F$2:$F$41)</f>
        <v>0.21200851900393186</v>
      </c>
      <c r="F48" s="88"/>
      <c r="G48" s="88">
        <f>SUM($F$2:$F$41)/SUM($H$2:$H$41)-1</f>
        <v>2.0735785953177155E-2</v>
      </c>
      <c r="H48" s="88"/>
      <c r="I48" s="88">
        <f>SUM($F$2:$F$41)/SUM($I$2:$I$41)-1</f>
        <v>0.1392310563643151</v>
      </c>
      <c r="J48" s="88"/>
    </row>
    <row r="50" spans="1:10" x14ac:dyDescent="0.3">
      <c r="A50" s="75" t="s">
        <v>41</v>
      </c>
      <c r="B50" s="75"/>
      <c r="C50" s="75"/>
      <c r="D50" s="75"/>
      <c r="E50" s="75"/>
      <c r="F50" s="75"/>
      <c r="G50" s="75"/>
      <c r="H50" s="75"/>
      <c r="I50" s="75"/>
      <c r="J50" s="75"/>
    </row>
    <row r="51" spans="1:10" ht="30" customHeight="1" x14ac:dyDescent="0.3">
      <c r="A51" s="73" t="str">
        <f>"1. Sales reached "&amp;TEXT(SUM($F$2:$F$41),"#,##0")&amp;", beating target by "&amp;TEXT(SUM($F$2:$F$41)-SUM($H$2:$H$41),"#,##0")&amp;" ("&amp;TEXT(SUM($F$2:$F$41)/SUM($H$2:$H$41)-1,"0.0%")&amp;") and prior-year sales by "&amp;TEXT(SUM($F$2:$F$41)/SUM($I$2:$I$41)-1,"0.0%")&amp;"."</f>
        <v>1. Sales reached 305,200, beating target by 6,200 (2.1%) and prior-year sales by 13.9%.</v>
      </c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30" customHeight="1" x14ac:dyDescent="0.3">
      <c r="A52" s="73" t="str">
        <f>"2. Laptop is the primary growth engine with "&amp;TEXT(SUMIF($C$2:$C$41,"Laptop",$F$2:$F$41),"#,##0")&amp;" in sales—"&amp;TEXT(SUMIF($C$2:$C$41,"Laptop",$F$2:$F$41)/SUM($F$2:$F$41),"0.0%")&amp;" of the total—and "&amp;TEXT(SUMIF($C$2:$C$41,"Laptop",$G$2:$G$41),"#,##0")&amp;" profit."</f>
        <v>2. Laptop is the primary growth engine with 139,300 in sales—45.6% of the total—and 27,860 profit.</v>
      </c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30" customHeight="1" x14ac:dyDescent="0.3">
      <c r="A53" s="73" t="str">
        <f>"3. East leads regions at "&amp;TEXT(SUMIF($E$2:$E$41,"East",$F$2:$F$41),"#,##0")&amp;", but South is only "&amp;TEXT(SUMIF($E$2:$E$41,"East",$F$2:$F$41)-SUMIF($E$2:$E$41,"South",$F$2:$F$41),"#,##0")&amp;" behind and produces more sales per order."</f>
        <v>3. East leads regions at 105,700, but South is only 1,400 behind and produces more sales per order.</v>
      </c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30" customHeight="1" x14ac:dyDescent="0.3">
      <c r="A54" s="73" t="str">
        <f>"4. Monitor is the only product below target, missing by "&amp;TEXT(ABS(SUMIF($C$2:$C$41,"Monitor",$F$2:$F$41)-SUMIF($C$2:$C$41,"Monitor",$H$2:$H$41)),"#,##0")&amp;"; North is the only region below target, by "&amp;TEXT(ABS(SUMIF($E$2:$E$41,"North",$F$2:$F$41)-SUMIF($E$2:$E$41,"North",$H$2:$H$41)),"#,##0")&amp;"."</f>
        <v>4. Monitor is the only product below target, missing by 400; North is the only region below target, by 400.</v>
      </c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30" customHeight="1" x14ac:dyDescent="0.3">
      <c r="A55" s="73" t="str">
        <f>"5. Global Stores is the largest customer at "&amp;TEXT(SUMIF($B$2:$B$41,"Global Stores",$F$2:$F$41),"#,##0")&amp;"; Tech World has the most orders but the lowest revenue, indicating a lower-value order mix."</f>
        <v>5. Global Stores is the largest customer at 99,000; Tech World has the most orders but the lowest revenue, indicating a lower-value order mix.</v>
      </c>
      <c r="B55" s="73"/>
      <c r="C55" s="73"/>
      <c r="D55" s="73"/>
      <c r="E55" s="73"/>
      <c r="F55" s="73"/>
      <c r="G55" s="73"/>
      <c r="H55" s="73"/>
      <c r="I55" s="73"/>
      <c r="J55" s="73"/>
    </row>
    <row r="57" spans="1:10" x14ac:dyDescent="0.3">
      <c r="A57" s="75" t="s">
        <v>195</v>
      </c>
      <c r="B57" s="75"/>
      <c r="C57" s="75"/>
      <c r="D57" s="75"/>
      <c r="E57" s="75"/>
      <c r="F57" s="75"/>
      <c r="G57" s="75"/>
      <c r="H57" s="75"/>
      <c r="I57" s="75"/>
      <c r="J57" s="75"/>
    </row>
    <row r="58" spans="1:10" ht="42" customHeight="1" x14ac:dyDescent="0.3">
      <c r="A58" s="73" t="s">
        <v>196</v>
      </c>
      <c r="B58" s="73"/>
      <c r="C58" s="73"/>
      <c r="D58" s="73"/>
      <c r="E58" s="73"/>
      <c r="F58" s="73"/>
      <c r="G58" s="73"/>
      <c r="H58" s="73"/>
      <c r="I58" s="73"/>
      <c r="J58" s="73"/>
    </row>
  </sheetData>
  <mergeCells count="20">
    <mergeCell ref="A44:J44"/>
    <mergeCell ref="A45:J45"/>
    <mergeCell ref="A47:B47"/>
    <mergeCell ref="A48:B48"/>
    <mergeCell ref="C47:D47"/>
    <mergeCell ref="C48:D48"/>
    <mergeCell ref="E47:F47"/>
    <mergeCell ref="E48:F48"/>
    <mergeCell ref="G47:H47"/>
    <mergeCell ref="G48:H48"/>
    <mergeCell ref="A54:J54"/>
    <mergeCell ref="A55:J55"/>
    <mergeCell ref="A57:J57"/>
    <mergeCell ref="A58:J58"/>
    <mergeCell ref="I47:J47"/>
    <mergeCell ref="I48:J48"/>
    <mergeCell ref="A50:J50"/>
    <mergeCell ref="A51:J51"/>
    <mergeCell ref="A52:J52"/>
    <mergeCell ref="A53:J5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0CBF-975A-4724-B4FA-F8BD3E17B37B}">
  <dimension ref="A1:J57"/>
  <sheetViews>
    <sheetView showGridLines="0" topLeftCell="A42" workbookViewId="0"/>
  </sheetViews>
  <sheetFormatPr defaultRowHeight="14.4" x14ac:dyDescent="0.3"/>
  <cols>
    <col min="1" max="1" width="19.44140625" customWidth="1"/>
    <col min="2" max="2" width="13.88671875" customWidth="1"/>
    <col min="3" max="3" width="26.88671875" customWidth="1"/>
    <col min="4" max="4" width="21.33203125" customWidth="1"/>
    <col min="5" max="5" width="3.6640625" customWidth="1"/>
    <col min="6" max="6" width="14.77734375" customWidth="1"/>
    <col min="7" max="7" width="11.109375" customWidth="1"/>
    <col min="8" max="8" width="17.5546875" customWidth="1"/>
    <col min="9" max="10" width="12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197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198</v>
      </c>
      <c r="B45" s="77"/>
      <c r="C45" s="77"/>
      <c r="D45" s="77"/>
      <c r="E45" s="77"/>
      <c r="F45" s="77"/>
      <c r="G45" s="77"/>
      <c r="H45" s="77"/>
      <c r="I45" s="77"/>
      <c r="J45" s="77"/>
    </row>
    <row r="47" spans="1:10" x14ac:dyDescent="0.3">
      <c r="A47" s="41" t="s">
        <v>199</v>
      </c>
      <c r="B47" s="41" t="s">
        <v>200</v>
      </c>
      <c r="C47" s="41" t="s">
        <v>201</v>
      </c>
      <c r="D47" s="41" t="s">
        <v>202</v>
      </c>
      <c r="F47" s="75" t="s">
        <v>231</v>
      </c>
      <c r="G47" s="75"/>
      <c r="H47" s="75"/>
      <c r="I47" s="75"/>
      <c r="J47" s="75"/>
    </row>
    <row r="48" spans="1:10" ht="43.2" x14ac:dyDescent="0.3">
      <c r="A48" s="9" t="s">
        <v>15</v>
      </c>
      <c r="B48" s="52">
        <f>SUM($F$2:$F$41)</f>
        <v>305200</v>
      </c>
      <c r="C48" s="28" t="s">
        <v>211</v>
      </c>
      <c r="D48" s="28" t="s">
        <v>221</v>
      </c>
      <c r="F48" s="84" t="s">
        <v>28</v>
      </c>
      <c r="G48" s="84"/>
      <c r="H48" s="77" t="str" cm="1">
        <f t="array" ref="H48">_xlfn.LET(_xlpm.x,_xlfn.UNIQUE($C$2:$C$41),_xlpm.s,SUMIF($C$2:$C$41,_xlpm.x,$F$2:$F$41),INDEX(_xlpm.x,_xlfn.XMATCH(MAX(_xlpm.s),_xlpm.s))&amp;" — "&amp;TEXT(MAX(_xlpm.s),"#,##0"))</f>
        <v>Laptop — 139,300</v>
      </c>
      <c r="I48" s="77"/>
      <c r="J48" s="77"/>
    </row>
    <row r="49" spans="1:10" ht="57.6" x14ac:dyDescent="0.3">
      <c r="A49" s="9" t="s">
        <v>97</v>
      </c>
      <c r="B49" s="52">
        <f>SUM($G$2:$G$41)</f>
        <v>64705</v>
      </c>
      <c r="C49" s="28" t="s">
        <v>212</v>
      </c>
      <c r="D49" s="28" t="s">
        <v>222</v>
      </c>
      <c r="F49" s="84" t="s">
        <v>232</v>
      </c>
      <c r="G49" s="84"/>
      <c r="H49" s="77" t="str" cm="1">
        <f t="array" ref="H49">_xlfn.LET(_xlpm.x,_xlfn.UNIQUE($B$2:$B$41),_xlpm.s,SUMIF($B$2:$B$41,_xlpm.x,$F$2:$F$41),INDEX(_xlpm.x,_xlfn.XMATCH(MAX(_xlpm.s),_xlpm.s))&amp;" — "&amp;TEXT(MAX(_xlpm.s),"#,##0"))</f>
        <v>Global Stores — 99,000</v>
      </c>
      <c r="I49" s="77"/>
      <c r="J49" s="77"/>
    </row>
    <row r="50" spans="1:10" ht="43.2" x14ac:dyDescent="0.3">
      <c r="A50" s="9" t="s">
        <v>203</v>
      </c>
      <c r="B50" s="53">
        <f>SUM($G$2:$G$41)/SUM($F$2:$F$41)</f>
        <v>0.21200851900393186</v>
      </c>
      <c r="C50" s="28" t="s">
        <v>213</v>
      </c>
      <c r="D50" s="28" t="s">
        <v>223</v>
      </c>
      <c r="F50" s="84" t="s">
        <v>233</v>
      </c>
      <c r="G50" s="84"/>
      <c r="H50" s="77" t="str" cm="1">
        <f t="array" ref="H50">_xlfn.LET(_xlpm.x,_xlfn.UNIQUE($E$2:$E$41),_xlpm.s,SUMIF($E$2:$E$41,_xlpm.x,$F$2:$F$41),INDEX(_xlpm.x,_xlfn.XMATCH(MAX(_xlpm.s),_xlpm.s))&amp;" — "&amp;TEXT(MAX(_xlpm.s),"#,##0"))</f>
        <v>East — 105,700</v>
      </c>
      <c r="I50" s="77"/>
      <c r="J50" s="77"/>
    </row>
    <row r="51" spans="1:10" ht="57.6" x14ac:dyDescent="0.3">
      <c r="A51" s="9" t="s">
        <v>204</v>
      </c>
      <c r="B51" s="54">
        <f>SUM($F$2:$F$41)-SUM($H$2:$H$41)</f>
        <v>6200</v>
      </c>
      <c r="C51" s="28" t="s">
        <v>214</v>
      </c>
      <c r="D51" s="28" t="s">
        <v>224</v>
      </c>
    </row>
    <row r="52" spans="1:10" ht="57.6" x14ac:dyDescent="0.3">
      <c r="A52" s="9" t="s">
        <v>205</v>
      </c>
      <c r="B52" s="53">
        <f>SUM($F$2:$F$41)/SUM($H$2:$H$41)</f>
        <v>1.0207357859531772</v>
      </c>
      <c r="C52" s="28" t="s">
        <v>215</v>
      </c>
      <c r="D52" s="28" t="s">
        <v>225</v>
      </c>
      <c r="F52" s="75" t="s">
        <v>44</v>
      </c>
      <c r="G52" s="75"/>
      <c r="H52" s="75"/>
      <c r="I52" s="75"/>
      <c r="J52" s="75"/>
    </row>
    <row r="53" spans="1:10" ht="72" customHeight="1" x14ac:dyDescent="0.3">
      <c r="A53" s="9" t="s">
        <v>206</v>
      </c>
      <c r="B53" s="53">
        <f>SUM($F$2:$F$41)/SUM($I$2:$I$41)-1</f>
        <v>0.1392310563643151</v>
      </c>
      <c r="C53" s="28" t="s">
        <v>216</v>
      </c>
      <c r="D53" s="28" t="s">
        <v>226</v>
      </c>
      <c r="F53" s="73" t="str">
        <f>"Sales are "&amp;TEXT(B51,"#,##0")&amp;" above target, with "&amp;TEXT(B53,"0.0%")&amp;" growth and a "&amp;TEXT(B50,"0.0%")&amp;" margin. However, only "&amp;TEXT(B56,"0.0%")&amp;" of individual records beat target, so performance is positive but uneven."</f>
        <v>Sales are 6,200 above target, with 13.9% growth and a 21.2% margin. However, only 57.5% of individual records beat target, so performance is positive but uneven.</v>
      </c>
      <c r="G53" s="73"/>
      <c r="H53" s="73"/>
      <c r="I53" s="73"/>
      <c r="J53" s="73"/>
    </row>
    <row r="54" spans="1:10" ht="72" customHeight="1" x14ac:dyDescent="0.3">
      <c r="A54" s="9" t="s">
        <v>207</v>
      </c>
      <c r="B54" s="52">
        <f>SUM($J$2:$J$41)</f>
        <v>1332</v>
      </c>
      <c r="C54" s="28" t="s">
        <v>217</v>
      </c>
      <c r="D54" s="28" t="s">
        <v>227</v>
      </c>
      <c r="F54" s="73"/>
      <c r="G54" s="73"/>
      <c r="H54" s="73"/>
      <c r="I54" s="73"/>
      <c r="J54" s="73"/>
    </row>
    <row r="55" spans="1:10" ht="72" customHeight="1" x14ac:dyDescent="0.3">
      <c r="A55" s="9" t="s">
        <v>208</v>
      </c>
      <c r="B55" s="55">
        <f>SUM($F$2:$F$41)/SUM($J$2:$J$41)</f>
        <v>229.12912912912913</v>
      </c>
      <c r="C55" s="28" t="s">
        <v>218</v>
      </c>
      <c r="D55" s="28" t="s">
        <v>228</v>
      </c>
      <c r="F55" s="73"/>
      <c r="G55" s="73"/>
      <c r="H55" s="73"/>
      <c r="I55" s="73"/>
      <c r="J55" s="73"/>
    </row>
    <row r="56" spans="1:10" ht="72" customHeight="1" x14ac:dyDescent="0.3">
      <c r="A56" s="9" t="s">
        <v>209</v>
      </c>
      <c r="B56" s="53" cm="1">
        <f t="array" ref="B56">SUMPRODUCT(--($F$2:$F$41&gt;$H$2:$H$41))/COUNTA($A$2:$A$41)</f>
        <v>0.57499999999999996</v>
      </c>
      <c r="C56" s="28" t="s">
        <v>219</v>
      </c>
      <c r="D56" s="28" t="s">
        <v>229</v>
      </c>
      <c r="F56" s="73"/>
      <c r="G56" s="73"/>
      <c r="H56" s="73"/>
      <c r="I56" s="73"/>
      <c r="J56" s="73"/>
    </row>
    <row r="57" spans="1:10" ht="28.8" x14ac:dyDescent="0.3">
      <c r="A57" s="9" t="s">
        <v>210</v>
      </c>
      <c r="B57" s="55">
        <f>AVERAGE($F$2:$F$41)</f>
        <v>7630</v>
      </c>
      <c r="C57" s="28" t="s">
        <v>220</v>
      </c>
      <c r="D57" s="28" t="s">
        <v>230</v>
      </c>
    </row>
  </sheetData>
  <mergeCells count="11">
    <mergeCell ref="F50:G50"/>
    <mergeCell ref="H50:J50"/>
    <mergeCell ref="F52:J52"/>
    <mergeCell ref="F53:J56"/>
    <mergeCell ref="A44:J44"/>
    <mergeCell ref="A45:J45"/>
    <mergeCell ref="F47:J47"/>
    <mergeCell ref="F48:G48"/>
    <mergeCell ref="H48:J48"/>
    <mergeCell ref="F49:G49"/>
    <mergeCell ref="H49:J4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C352-3B28-41C7-918F-05029983265A}">
  <dimension ref="A1:J57"/>
  <sheetViews>
    <sheetView showGridLines="0" topLeftCell="A43" workbookViewId="0"/>
  </sheetViews>
  <sheetFormatPr defaultRowHeight="14.4" x14ac:dyDescent="0.3"/>
  <cols>
    <col min="1" max="1" width="14.77734375" customWidth="1"/>
    <col min="2" max="3" width="13.88671875" customWidth="1"/>
    <col min="4" max="5" width="12" customWidth="1"/>
    <col min="6" max="8" width="13.88671875" customWidth="1"/>
    <col min="9" max="10" width="12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234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235</v>
      </c>
      <c r="B45" s="77"/>
      <c r="C45" s="77"/>
      <c r="D45" s="77"/>
      <c r="E45" s="77"/>
      <c r="F45" s="77"/>
      <c r="G45" s="77"/>
      <c r="H45" s="77"/>
      <c r="I45" s="77"/>
      <c r="J45" s="77"/>
    </row>
    <row r="47" spans="1:10" x14ac:dyDescent="0.3">
      <c r="A47" s="20" t="s">
        <v>1</v>
      </c>
      <c r="B47" s="20" t="s">
        <v>3</v>
      </c>
      <c r="C47" s="20" t="s">
        <v>4</v>
      </c>
      <c r="D47" s="20" t="s">
        <v>84</v>
      </c>
      <c r="E47" s="20" t="s">
        <v>236</v>
      </c>
      <c r="F47" s="20" t="s">
        <v>2</v>
      </c>
      <c r="G47" s="20" t="s">
        <v>3</v>
      </c>
      <c r="H47" s="20" t="s">
        <v>4</v>
      </c>
      <c r="I47" s="20" t="s">
        <v>84</v>
      </c>
      <c r="J47" s="20" t="s">
        <v>236</v>
      </c>
    </row>
    <row r="48" spans="1:10" x14ac:dyDescent="0.3">
      <c r="A48" s="9" t="s">
        <v>7</v>
      </c>
      <c r="B48" s="21">
        <f>SUMIF($C$2:$C$41,A48,$F$2:$F$41)</f>
        <v>139300</v>
      </c>
      <c r="C48" s="21">
        <f>SUMIF($C$2:$C$41,A48,$G$2:$G$41)</f>
        <v>27860</v>
      </c>
      <c r="D48" s="22">
        <f>C48/B48</f>
        <v>0.2</v>
      </c>
      <c r="E48" s="56">
        <f>_xlfn.RANK.EQ(C48,$C$48:$C$51,0)</f>
        <v>1</v>
      </c>
      <c r="F48" s="9" t="s">
        <v>12</v>
      </c>
      <c r="G48" s="21">
        <f>SUMIF($E$2:$E$41,F48,$F$2:$F$41)</f>
        <v>105700</v>
      </c>
      <c r="H48" s="21">
        <f>SUMIF($E$2:$E$41,F48,$G$2:$G$41)</f>
        <v>22380</v>
      </c>
      <c r="I48" s="22">
        <f>H48/G48</f>
        <v>0.21173131504257331</v>
      </c>
      <c r="J48" s="56">
        <f>_xlfn.RANK.EQ(H48,$H$48:$H$51,0)</f>
        <v>1</v>
      </c>
    </row>
    <row r="49" spans="1:10" x14ac:dyDescent="0.3">
      <c r="A49" s="9" t="s">
        <v>9</v>
      </c>
      <c r="B49" s="21">
        <f t="shared" ref="B49:B51" si="0">SUMIF($C$2:$C$41,A49,$F$2:$F$41)</f>
        <v>92600</v>
      </c>
      <c r="C49" s="21">
        <f t="shared" ref="C49:C51" si="1">SUMIF($C$2:$C$41,A49,$G$2:$G$41)</f>
        <v>18520</v>
      </c>
      <c r="D49" s="22">
        <f t="shared" ref="D49:D51" si="2">C49/B49</f>
        <v>0.2</v>
      </c>
      <c r="E49" s="56">
        <f t="shared" ref="E49:E51" si="3">_xlfn.RANK.EQ(C49,$C$48:$C$51,0)</f>
        <v>2</v>
      </c>
      <c r="F49" s="9" t="s">
        <v>10</v>
      </c>
      <c r="G49" s="21">
        <f t="shared" ref="G49:G51" si="4">SUMIF($E$2:$E$41,F49,$F$2:$F$41)</f>
        <v>104300</v>
      </c>
      <c r="H49" s="21">
        <f t="shared" ref="H49:H51" si="5">SUMIF($E$2:$E$41,F49,$G$2:$G$41)</f>
        <v>20860</v>
      </c>
      <c r="I49" s="22">
        <f t="shared" ref="I49:I51" si="6">H49/G49</f>
        <v>0.2</v>
      </c>
      <c r="J49" s="56">
        <f t="shared" ref="J49:J51" si="7">_xlfn.RANK.EQ(H49,$H$48:$H$51,0)</f>
        <v>2</v>
      </c>
    </row>
    <row r="50" spans="1:10" x14ac:dyDescent="0.3">
      <c r="A50" s="9" t="s">
        <v>11</v>
      </c>
      <c r="B50" s="21">
        <f t="shared" si="0"/>
        <v>42200</v>
      </c>
      <c r="C50" s="21">
        <f t="shared" si="1"/>
        <v>10550</v>
      </c>
      <c r="D50" s="22">
        <f t="shared" si="2"/>
        <v>0.25</v>
      </c>
      <c r="E50" s="56">
        <f t="shared" si="3"/>
        <v>3</v>
      </c>
      <c r="F50" s="9" t="s">
        <v>8</v>
      </c>
      <c r="G50" s="21">
        <f t="shared" si="4"/>
        <v>64100</v>
      </c>
      <c r="H50" s="21">
        <f t="shared" si="5"/>
        <v>13690</v>
      </c>
      <c r="I50" s="22">
        <f t="shared" si="6"/>
        <v>0.21357254290171607</v>
      </c>
      <c r="J50" s="56">
        <f t="shared" si="7"/>
        <v>3</v>
      </c>
    </row>
    <row r="51" spans="1:10" x14ac:dyDescent="0.3">
      <c r="A51" s="9" t="s">
        <v>13</v>
      </c>
      <c r="B51" s="21">
        <f t="shared" si="0"/>
        <v>31100</v>
      </c>
      <c r="C51" s="21">
        <f t="shared" si="1"/>
        <v>7775</v>
      </c>
      <c r="D51" s="22">
        <f t="shared" si="2"/>
        <v>0.25</v>
      </c>
      <c r="E51" s="56">
        <f t="shared" si="3"/>
        <v>4</v>
      </c>
      <c r="F51" s="9" t="s">
        <v>14</v>
      </c>
      <c r="G51" s="21">
        <f t="shared" si="4"/>
        <v>31100</v>
      </c>
      <c r="H51" s="21">
        <f t="shared" si="5"/>
        <v>7775</v>
      </c>
      <c r="I51" s="22">
        <f t="shared" si="6"/>
        <v>0.25</v>
      </c>
      <c r="J51" s="56">
        <f t="shared" si="7"/>
        <v>4</v>
      </c>
    </row>
    <row r="53" spans="1:10" x14ac:dyDescent="0.3">
      <c r="A53" s="75" t="s">
        <v>41</v>
      </c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30" customHeight="1" x14ac:dyDescent="0.3">
      <c r="A54" s="73" t="str">
        <f>"1. Laptop is the most profitable product at "&amp;TEXT(C48,"#,##0")&amp;", contributing "&amp;TEXT(C48/SUM($G$2:$G$41),"0.0%")&amp;" of total profit."</f>
        <v>1. Laptop is the most profitable product at 27,860, contributing 43.1% of total profit.</v>
      </c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30" customHeight="1" x14ac:dyDescent="0.3">
      <c r="A55" s="73" t="str">
        <f>"2. East is the most profitable region at "&amp;TEXT(H48,"#,##0")&amp;", narrowly ahead of South by "&amp;TEXT(H48-H49,"#,##0")&amp;"."</f>
        <v>2. East is the most profitable region at 22,380, narrowly ahead of South by 1,520.</v>
      </c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30" customHeight="1" x14ac:dyDescent="0.3">
      <c r="A56" s="73" t="str">
        <f>"3. Keyboard and Mouse have the highest product margins at "&amp;TEXT(MAX($D$48:$D$51),"0.0%")&amp;", versus 20.0% for Laptop and Monitor."</f>
        <v>3. Keyboard and Mouse have the highest product margins at 25.0%, versus 20.0% for Laptop and Monitor.</v>
      </c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30" customHeight="1" x14ac:dyDescent="0.3">
      <c r="A57" s="73" t="str">
        <f>"4. West has the highest regional margin at "&amp;TEXT(I51,"0.0%")&amp;", but the lowest absolute profit ("&amp;TEXT(H51,"#,##0")&amp;") because its sales base is smaller."</f>
        <v>4. West has the highest regional margin at 25.0%, but the lowest absolute profit (7,775) because its sales base is smaller.</v>
      </c>
      <c r="B57" s="73"/>
      <c r="C57" s="73"/>
      <c r="D57" s="73"/>
      <c r="E57" s="73"/>
      <c r="F57" s="73"/>
      <c r="G57" s="73"/>
      <c r="H57" s="73"/>
      <c r="I57" s="73"/>
      <c r="J57" s="73"/>
    </row>
  </sheetData>
  <mergeCells count="7">
    <mergeCell ref="A57:J57"/>
    <mergeCell ref="A44:J44"/>
    <mergeCell ref="A45:J45"/>
    <mergeCell ref="A53:J53"/>
    <mergeCell ref="A54:J54"/>
    <mergeCell ref="A55:J55"/>
    <mergeCell ref="A56:J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F86D-060D-4283-A70F-8F078F492E74}">
  <dimension ref="A1:M41"/>
  <sheetViews>
    <sheetView showGridLines="0" workbookViewId="0">
      <selection activeCell="C25" sqref="C25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0.88671875" bestFit="1" customWidth="1"/>
    <col min="13" max="13" width="10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8" t="s">
        <v>28</v>
      </c>
      <c r="M1" s="18" t="s">
        <v>15</v>
      </c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tr" cm="1">
        <f t="array" ref="L2">_xlfn.LET(_xlpm.p,_xlfn.UNIQUE($C$2:$C$41),_xlpm.s,SUMIF($C$2:$C$41,_xlpm.p,$F$2:$F$41),INDEX(_xlfn.SORTBY(_xlpm.p,_xlpm.s,-1),1))</f>
        <v>Laptop</v>
      </c>
      <c r="M2" s="6">
        <f>SUMIF($C$2:$C$41,L2,$F$2:$F$41)</f>
        <v>139300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AD85-FE27-47C7-82E6-E66C460064A6}">
  <dimension ref="A1:J57"/>
  <sheetViews>
    <sheetView showGridLines="0" topLeftCell="A43" workbookViewId="0">
      <selection activeCell="F48" sqref="F48"/>
    </sheetView>
  </sheetViews>
  <sheetFormatPr defaultRowHeight="14.4" x14ac:dyDescent="0.3"/>
  <cols>
    <col min="1" max="1" width="10.21875" customWidth="1"/>
    <col min="2" max="2" width="18.5546875" customWidth="1"/>
    <col min="3" max="4" width="13" customWidth="1"/>
    <col min="5" max="6" width="12" customWidth="1"/>
    <col min="7" max="7" width="14.77734375" customWidth="1"/>
    <col min="8" max="8" width="17.5546875" customWidth="1"/>
    <col min="9" max="9" width="10.21875" customWidth="1"/>
    <col min="10" max="10" width="35.21875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237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238</v>
      </c>
      <c r="B45" s="77"/>
      <c r="C45" s="77"/>
      <c r="D45" s="77"/>
      <c r="E45" s="77"/>
      <c r="F45" s="77"/>
      <c r="G45" s="77"/>
      <c r="H45" s="77"/>
      <c r="I45" s="77"/>
      <c r="J45" s="77"/>
    </row>
    <row r="47" spans="1:10" s="17" customFormat="1" x14ac:dyDescent="0.3">
      <c r="A47" s="57" t="s">
        <v>46</v>
      </c>
      <c r="B47" s="57" t="s">
        <v>239</v>
      </c>
      <c r="C47" s="57" t="s">
        <v>3</v>
      </c>
      <c r="D47" s="57" t="s">
        <v>240</v>
      </c>
      <c r="E47" s="57" t="s">
        <v>241</v>
      </c>
      <c r="F47" s="57" t="s">
        <v>242</v>
      </c>
      <c r="G47" s="57" t="s">
        <v>40</v>
      </c>
      <c r="H47" s="57" t="s">
        <v>243</v>
      </c>
      <c r="I47" s="57"/>
      <c r="J47" s="57" t="s">
        <v>244</v>
      </c>
    </row>
    <row r="48" spans="1:10" s="17" customFormat="1" ht="28.8" x14ac:dyDescent="0.3">
      <c r="A48" s="58" t="s">
        <v>150</v>
      </c>
      <c r="B48" s="28" t="s">
        <v>9</v>
      </c>
      <c r="C48" s="59">
        <f>SUMIF($C$2:$C$41,B48,$F$2:$F$41)</f>
        <v>92600</v>
      </c>
      <c r="D48" s="59">
        <f>C48-SUMIF($C$2:$C$41,B48,$H$2:$H$41)</f>
        <v>-400</v>
      </c>
      <c r="E48" s="60" cm="1">
        <f t="array" ref="E48">SUMPRODUCT(--($C$2:$C$41=B48),--($F$2:$F$41&gt;$H$2:$H$41))/COUNTIF($C$2:$C$41,B48)</f>
        <v>0.4</v>
      </c>
      <c r="F48" s="60">
        <f>C48/SUMIF($C$2:$C$41,B48,$I$2:$I$41)-1</f>
        <v>0.10898203592814371</v>
      </c>
      <c r="G48" s="61">
        <f>C48/SUMIF($C$2:$C$41,B48,$J$2:$J$41)</f>
        <v>434.74178403755866</v>
      </c>
      <c r="H48" s="76" t="s">
        <v>246</v>
      </c>
      <c r="I48" s="76"/>
      <c r="J48" s="28" t="s">
        <v>247</v>
      </c>
    </row>
    <row r="49" spans="1:10" s="17" customFormat="1" ht="43.2" x14ac:dyDescent="0.3">
      <c r="A49" s="58" t="s">
        <v>150</v>
      </c>
      <c r="B49" s="28" t="s">
        <v>8</v>
      </c>
      <c r="C49" s="59">
        <f>SUMIF($E$2:$E$41,B49,$F$2:$F$41)</f>
        <v>64100</v>
      </c>
      <c r="D49" s="59">
        <f>C49-SUMIF($E$2:$E$41,B49,$H$2:$H$41)</f>
        <v>-400</v>
      </c>
      <c r="E49" s="60" cm="1">
        <f t="array" ref="E49">SUMPRODUCT(--($E$2:$E$41=B49),--($F$2:$F$41&gt;$H$2:$H$41))/COUNTIF($E$2:$E$41,B49)</f>
        <v>0.375</v>
      </c>
      <c r="F49" s="60">
        <f>C49/SUMIF($E$2:$E$41,B49,$I$2:$I$41)-1</f>
        <v>0.13051146384479728</v>
      </c>
      <c r="G49" s="61">
        <f>C49/SUMIF($E$2:$E$41,B49,$J$2:$J$41)</f>
        <v>252.36220472440945</v>
      </c>
      <c r="H49" s="76" t="s">
        <v>248</v>
      </c>
      <c r="I49" s="76"/>
      <c r="J49" s="28" t="s">
        <v>249</v>
      </c>
    </row>
    <row r="50" spans="1:10" s="17" customFormat="1" ht="28.8" x14ac:dyDescent="0.3">
      <c r="A50" s="58" t="s">
        <v>150</v>
      </c>
      <c r="B50" s="28" t="s">
        <v>245</v>
      </c>
      <c r="C50" s="59">
        <f>SUMIF($E$2:$E$41,"West",$F$2:$F$41)</f>
        <v>31100</v>
      </c>
      <c r="D50" s="59">
        <f>C50-SUMIF($E$2:$E$41,"West",$H$2:$H$41)</f>
        <v>900</v>
      </c>
      <c r="E50" s="60" cm="1">
        <f t="array" ref="E50">SUMPRODUCT(--($E$2:$E$41="West"),--($F$2:$F$41&gt;$H$2:$H$41))/COUNTIF($E$2:$E$41,"West")</f>
        <v>0.6</v>
      </c>
      <c r="F50" s="60">
        <f>C50/SUMIF($E$2:$E$41,"West",$I$2:$I$41)-1</f>
        <v>0.13503649635036497</v>
      </c>
      <c r="G50" s="61">
        <f>C50/SUMIF($E$2:$E$41,"West",$J$2:$J$41)</f>
        <v>68.805309734513273</v>
      </c>
      <c r="H50" s="76" t="s">
        <v>250</v>
      </c>
      <c r="I50" s="76"/>
      <c r="J50" s="28" t="s">
        <v>251</v>
      </c>
    </row>
    <row r="51" spans="1:10" s="17" customFormat="1" ht="28.8" x14ac:dyDescent="0.3">
      <c r="A51" s="62" t="s">
        <v>157</v>
      </c>
      <c r="B51" s="28" t="s">
        <v>23</v>
      </c>
      <c r="C51" s="59">
        <f>SUMIF($B$2:$B$41,B51,$F$2:$F$41)</f>
        <v>99000</v>
      </c>
      <c r="D51" s="59">
        <f>C51-SUMIF($B$2:$B$41,B51,$H$2:$H$41)</f>
        <v>0</v>
      </c>
      <c r="E51" s="60" cm="1">
        <f t="array" ref="E51">SUMPRODUCT(--($B$2:$B$41=B51),--($F$2:$F$41&gt;$H$2:$H$41))/COUNTIF($B$2:$B$41,B51)</f>
        <v>0.4</v>
      </c>
      <c r="F51" s="60">
        <f>C51/SUMIF($B$2:$B$41,B51,$I$2:$I$41)-1</f>
        <v>0.12117780294450742</v>
      </c>
      <c r="G51" s="61">
        <f>C51/SUMIF($B$2:$B$41,B51,$J$2:$J$41)</f>
        <v>445.94594594594594</v>
      </c>
      <c r="H51" s="76" t="s">
        <v>252</v>
      </c>
      <c r="I51" s="76"/>
      <c r="J51" s="28" t="s">
        <v>253</v>
      </c>
    </row>
    <row r="52" spans="1:10" s="17" customFormat="1" ht="28.8" x14ac:dyDescent="0.3">
      <c r="A52" s="62" t="s">
        <v>157</v>
      </c>
      <c r="B52" s="28" t="s">
        <v>25</v>
      </c>
      <c r="C52" s="59">
        <f>SUMIF($D$2:$D$41,B52,$F$2:$F$41)</f>
        <v>73300</v>
      </c>
      <c r="D52" s="59">
        <f>C52-SUMIF($D$2:$D$41,B52,$H$2:$H$41)</f>
        <v>2300</v>
      </c>
      <c r="E52" s="60" cm="1">
        <f t="array" ref="E52">SUMPRODUCT(--($D$2:$D$41=B52),--($F$2:$F$41&gt;$H$2:$H$41))/COUNTIF($D$2:$D$41,B52)</f>
        <v>0.6</v>
      </c>
      <c r="F52" s="60">
        <f>C52/SUMIF($D$2:$D$41,B52,$I$2:$I$41)-1</f>
        <v>0.14174454828660443</v>
      </c>
      <c r="G52" s="61">
        <f>C52/SUMIF($D$2:$D$41,B52,$J$2:$J$41)</f>
        <v>87.679425837320579</v>
      </c>
      <c r="H52" s="76" t="s">
        <v>254</v>
      </c>
      <c r="I52" s="76"/>
      <c r="J52" s="28" t="s">
        <v>255</v>
      </c>
    </row>
    <row r="54" spans="1:10" x14ac:dyDescent="0.3">
      <c r="A54" s="75" t="s">
        <v>44</v>
      </c>
      <c r="B54" s="75"/>
      <c r="C54" s="75"/>
      <c r="D54" s="75"/>
      <c r="E54" s="75"/>
      <c r="F54" s="75"/>
      <c r="G54" s="75"/>
      <c r="H54" s="75"/>
      <c r="I54" s="75"/>
      <c r="J54" s="75"/>
    </row>
    <row r="55" spans="1:10" ht="60" customHeight="1" x14ac:dyDescent="0.3">
      <c r="A55" s="73" t="str" cm="1">
        <f t="array" ref="A55">"Overall sales are "&amp;TEXT(SUM($F$2:$F$41)-SUM($H$2:$H$41),"#,##0")&amp;" above target, but only "&amp;TEXT(SUMPRODUCT(--($F$2:$F$41&gt;$H$2:$H$41))/COUNTA($A$2:$A$41),"0.0%")&amp;" of records beat plan. The priority is to improve consistency in Monitor and North, then raise order value in West/Tech World while preserving its 25% margin."</f>
        <v>Overall sales are 6,200 above target, but only 57.5% of records beat plan. The priority is to improve consistency in Monitor and North, then raise order value in West/Tech World while preserving its 25% margin.</v>
      </c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60" customHeight="1" x14ac:dyDescent="0.3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60" customHeight="1" x14ac:dyDescent="0.3">
      <c r="A57" s="73"/>
      <c r="B57" s="73"/>
      <c r="C57" s="73"/>
      <c r="D57" s="73"/>
      <c r="E57" s="73"/>
      <c r="F57" s="73"/>
      <c r="G57" s="73"/>
      <c r="H57" s="73"/>
      <c r="I57" s="73"/>
      <c r="J57" s="73"/>
    </row>
  </sheetData>
  <mergeCells count="9">
    <mergeCell ref="H52:I52"/>
    <mergeCell ref="A54:J54"/>
    <mergeCell ref="A55:J57"/>
    <mergeCell ref="A44:J44"/>
    <mergeCell ref="A45:J45"/>
    <mergeCell ref="H48:I48"/>
    <mergeCell ref="H49:I49"/>
    <mergeCell ref="H50:I50"/>
    <mergeCell ref="H51:I5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85BD-924B-4327-B26F-897C96F315C6}">
  <dimension ref="A1:O41"/>
  <sheetViews>
    <sheetView showGridLines="0" workbookViewId="0">
      <selection activeCell="O19" sqref="O19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5" width="10.6640625" style="65" customWidth="1"/>
  </cols>
  <sheetData>
    <row r="1" spans="1:15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63" t="s">
        <v>96</v>
      </c>
      <c r="M1" s="63" t="s">
        <v>3</v>
      </c>
      <c r="N1" s="63" t="s">
        <v>4</v>
      </c>
      <c r="O1" s="63" t="s">
        <v>20</v>
      </c>
    </row>
    <row r="2" spans="1:15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s="11" t="s">
        <v>98</v>
      </c>
      <c r="M2" s="64" cm="1">
        <f t="array" ref="M2">SUMPRODUCT((YEAR($A$2:$A$41)=2026)*(MONTH($A$2:$A$41)=ROW()-1)*$F$2:$F$41)</f>
        <v>24200</v>
      </c>
      <c r="N2" s="64" cm="1">
        <f t="array" ref="N2">SUMPRODUCT((YEAR($A$2:$A$41)=2026)*(MONTH($A$2:$A$41)=ROW()-1)*$G$2:$G$41)</f>
        <v>5015</v>
      </c>
      <c r="O2" s="64" cm="1">
        <f t="array" ref="O2">SUMPRODUCT((YEAR($A$2:$A$41)=2026)*(MONTH($A$2:$A$41)=ROW()-1)*$J$2:$J$41)</f>
        <v>75</v>
      </c>
    </row>
    <row r="3" spans="1:15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s="11" t="s">
        <v>99</v>
      </c>
      <c r="M3" s="64" cm="1">
        <f t="array" ref="M3">SUMPRODUCT((YEAR($A$2:$A$41)=2026)*(MONTH($A$2:$A$41)=ROW()-1)*$F$2:$F$41)</f>
        <v>17600</v>
      </c>
      <c r="N3" s="64" cm="1">
        <f t="array" ref="N3">SUMPRODUCT((YEAR($A$2:$A$41)=2026)*(MONTH($A$2:$A$41)=ROW()-1)*$G$2:$G$41)</f>
        <v>3660</v>
      </c>
      <c r="O3" s="64" cm="1">
        <f t="array" ref="O3">SUMPRODUCT((YEAR($A$2:$A$41)=2026)*(MONTH($A$2:$A$41)=ROW()-1)*$J$2:$J$41)</f>
        <v>69</v>
      </c>
    </row>
    <row r="4" spans="1:15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s="11" t="s">
        <v>100</v>
      </c>
      <c r="M4" s="64" cm="1">
        <f t="array" ref="M4">SUMPRODUCT((YEAR($A$2:$A$41)=2026)*(MONTH($A$2:$A$41)=ROW()-1)*$F$2:$F$41)</f>
        <v>13700</v>
      </c>
      <c r="N4" s="64" cm="1">
        <f t="array" ref="N4">SUMPRODUCT((YEAR($A$2:$A$41)=2026)*(MONTH($A$2:$A$41)=ROW()-1)*$G$2:$G$41)</f>
        <v>2950</v>
      </c>
      <c r="O4" s="64" cm="1">
        <f t="array" ref="O4">SUMPRODUCT((YEAR($A$2:$A$41)=2026)*(MONTH($A$2:$A$41)=ROW()-1)*$J$2:$J$41)</f>
        <v>59</v>
      </c>
    </row>
    <row r="5" spans="1:15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s="11" t="s">
        <v>101</v>
      </c>
      <c r="M5" s="64" cm="1">
        <f t="array" ref="M5">SUMPRODUCT((YEAR($A$2:$A$41)=2026)*(MONTH($A$2:$A$41)=ROW()-1)*$F$2:$F$41)</f>
        <v>25000</v>
      </c>
      <c r="N5" s="64" cm="1">
        <f t="array" ref="N5">SUMPRODUCT((YEAR($A$2:$A$41)=2026)*(MONTH($A$2:$A$41)=ROW()-1)*$G$2:$G$41)</f>
        <v>5155</v>
      </c>
      <c r="O5" s="64" cm="1">
        <f t="array" ref="O5">SUMPRODUCT((YEAR($A$2:$A$41)=2026)*(MONTH($A$2:$A$41)=ROW()-1)*$J$2:$J$41)</f>
        <v>92</v>
      </c>
    </row>
    <row r="6" spans="1:15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L6" s="11" t="s">
        <v>102</v>
      </c>
      <c r="M6" s="64" cm="1">
        <f t="array" ref="M6">SUMPRODUCT((YEAR($A$2:$A$41)=2026)*(MONTH($A$2:$A$41)=ROW()-1)*$F$2:$F$41)</f>
        <v>6500</v>
      </c>
      <c r="N6" s="64" cm="1">
        <f t="array" ref="N6">SUMPRODUCT((YEAR($A$2:$A$41)=2026)*(MONTH($A$2:$A$41)=ROW()-1)*$G$2:$G$41)</f>
        <v>1625</v>
      </c>
      <c r="O6" s="64" cm="1">
        <f t="array" ref="O6">SUMPRODUCT((YEAR($A$2:$A$41)=2026)*(MONTH($A$2:$A$41)=ROW()-1)*$J$2:$J$41)</f>
        <v>77</v>
      </c>
    </row>
    <row r="7" spans="1:15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L7" s="11" t="s">
        <v>103</v>
      </c>
      <c r="M7" s="64" cm="1">
        <f t="array" ref="M7">SUMPRODUCT((YEAR($A$2:$A$41)=2026)*(MONTH($A$2:$A$41)=ROW()-1)*$F$2:$F$41)</f>
        <v>24600</v>
      </c>
      <c r="N7" s="64" cm="1">
        <f t="array" ref="N7">SUMPRODUCT((YEAR($A$2:$A$41)=2026)*(MONTH($A$2:$A$41)=ROW()-1)*$G$2:$G$41)</f>
        <v>4920</v>
      </c>
      <c r="O7" s="64" cm="1">
        <f t="array" ref="O7">SUMPRODUCT((YEAR($A$2:$A$41)=2026)*(MONTH($A$2:$A$41)=ROW()-1)*$J$2:$J$41)</f>
        <v>53</v>
      </c>
    </row>
    <row r="8" spans="1:15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L8" s="11" t="s">
        <v>104</v>
      </c>
      <c r="M8" s="64" cm="1">
        <f t="array" ref="M8">SUMPRODUCT((YEAR($A$2:$A$41)=2026)*(MONTH($A$2:$A$41)=ROW()-1)*$F$2:$F$41)</f>
        <v>7700</v>
      </c>
      <c r="N8" s="64" cm="1">
        <f t="array" ref="N8">SUMPRODUCT((YEAR($A$2:$A$41)=2026)*(MONTH($A$2:$A$41)=ROW()-1)*$G$2:$G$41)</f>
        <v>1925</v>
      </c>
      <c r="O8" s="64" cm="1">
        <f t="array" ref="O8">SUMPRODUCT((YEAR($A$2:$A$41)=2026)*(MONTH($A$2:$A$41)=ROW()-1)*$J$2:$J$41)</f>
        <v>89</v>
      </c>
    </row>
    <row r="9" spans="1:15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L9" s="11" t="s">
        <v>105</v>
      </c>
      <c r="M9" s="64" cm="1">
        <f t="array" ref="M9">SUMPRODUCT((YEAR($A$2:$A$41)=2026)*(MONTH($A$2:$A$41)=ROW()-1)*$F$2:$F$41)</f>
        <v>31800</v>
      </c>
      <c r="N9" s="64" cm="1">
        <f t="array" ref="N9">SUMPRODUCT((YEAR($A$2:$A$41)=2026)*(MONTH($A$2:$A$41)=ROW()-1)*$G$2:$G$41)</f>
        <v>6600</v>
      </c>
      <c r="O9" s="64" cm="1">
        <f t="array" ref="O9">SUMPRODUCT((YEAR($A$2:$A$41)=2026)*(MONTH($A$2:$A$41)=ROW()-1)*$J$2:$J$41)</f>
        <v>101</v>
      </c>
    </row>
    <row r="10" spans="1:15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  <c r="L10" s="11" t="s">
        <v>106</v>
      </c>
      <c r="M10" s="64" cm="1">
        <f t="array" ref="M10">SUMPRODUCT((YEAR($A$2:$A$41)=2026)*(MONTH($A$2:$A$41)=ROW()-1)*$F$2:$F$41)</f>
        <v>17700</v>
      </c>
      <c r="N10" s="64" cm="1">
        <f t="array" ref="N10">SUMPRODUCT((YEAR($A$2:$A$41)=2026)*(MONTH($A$2:$A$41)=ROW()-1)*$G$2:$G$41)</f>
        <v>3715</v>
      </c>
      <c r="O10" s="64" cm="1">
        <f t="array" ref="O10">SUMPRODUCT((YEAR($A$2:$A$41)=2026)*(MONTH($A$2:$A$41)=ROW()-1)*$J$2:$J$41)</f>
        <v>78</v>
      </c>
    </row>
    <row r="11" spans="1:15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  <c r="L11" s="11" t="s">
        <v>107</v>
      </c>
      <c r="M11" s="64" cm="1">
        <f t="array" ref="M11">SUMPRODUCT((YEAR($A$2:$A$41)=2026)*(MONTH($A$2:$A$41)=ROW()-1)*$F$2:$F$41)</f>
        <v>16400</v>
      </c>
      <c r="N11" s="64" cm="1">
        <f t="array" ref="N11">SUMPRODUCT((YEAR($A$2:$A$41)=2026)*(MONTH($A$2:$A$41)=ROW()-1)*$G$2:$G$41)</f>
        <v>3540</v>
      </c>
      <c r="O11" s="64" cm="1">
        <f t="array" ref="O11">SUMPRODUCT((YEAR($A$2:$A$41)=2026)*(MONTH($A$2:$A$41)=ROW()-1)*$J$2:$J$41)</f>
        <v>72</v>
      </c>
    </row>
    <row r="12" spans="1:15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  <c r="L12" s="11" t="s">
        <v>108</v>
      </c>
      <c r="M12" s="64" cm="1">
        <f t="array" ref="M12">SUMPRODUCT((YEAR($A$2:$A$41)=2026)*(MONTH($A$2:$A$41)=ROW()-1)*$F$2:$F$41)</f>
        <v>32100</v>
      </c>
      <c r="N12" s="64" cm="1">
        <f t="array" ref="N12">SUMPRODUCT((YEAR($A$2:$A$41)=2026)*(MONTH($A$2:$A$41)=ROW()-1)*$G$2:$G$41)</f>
        <v>6610</v>
      </c>
      <c r="O12" s="64" cm="1">
        <f t="array" ref="O12">SUMPRODUCT((YEAR($A$2:$A$41)=2026)*(MONTH($A$2:$A$41)=ROW()-1)*$J$2:$J$41)</f>
        <v>114</v>
      </c>
    </row>
    <row r="13" spans="1:15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  <c r="L13" s="11" t="s">
        <v>109</v>
      </c>
      <c r="M13" s="64" cm="1">
        <f t="array" ref="M13">SUMPRODUCT((YEAR($A$2:$A$41)=2026)*(MONTH($A$2:$A$41)=ROW()-1)*$F$2:$F$41)</f>
        <v>9600</v>
      </c>
      <c r="N13" s="64" cm="1">
        <f t="array" ref="N13">SUMPRODUCT((YEAR($A$2:$A$41)=2026)*(MONTH($A$2:$A$41)=ROW()-1)*$G$2:$G$41)</f>
        <v>2400</v>
      </c>
      <c r="O13" s="64" cm="1">
        <f t="array" ref="O13">SUMPRODUCT((YEAR($A$2:$A$41)=2026)*(MONTH($A$2:$A$41)=ROW()-1)*$J$2:$J$41)</f>
        <v>105</v>
      </c>
    </row>
    <row r="14" spans="1:15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5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5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EAE3-9425-46EC-A4B6-4E3EF01F82C6}">
  <sheetPr>
    <tabColor theme="6"/>
  </sheetPr>
  <dimension ref="A1:J41"/>
  <sheetViews>
    <sheetView showGridLines="0" workbookViewId="0">
      <selection activeCell="P12" sqref="P12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A87E-19DE-43A0-9ECD-F28FBAAC0E3B}">
  <dimension ref="A1:H14"/>
  <sheetViews>
    <sheetView showGridLines="0" workbookViewId="0">
      <selection activeCell="P12" sqref="P12"/>
    </sheetView>
  </sheetViews>
  <sheetFormatPr defaultRowHeight="14.4" x14ac:dyDescent="0.3"/>
  <cols>
    <col min="1" max="1" width="37" customWidth="1"/>
    <col min="2" max="6" width="15.21875" customWidth="1"/>
    <col min="7" max="8" width="10.21875" customWidth="1"/>
  </cols>
  <sheetData>
    <row r="1" spans="1:8" ht="30" customHeight="1" x14ac:dyDescent="0.45">
      <c r="A1" s="90" t="s">
        <v>256</v>
      </c>
      <c r="B1" s="90"/>
      <c r="C1" s="90"/>
      <c r="D1" s="90"/>
      <c r="E1" s="90"/>
      <c r="F1" s="90"/>
      <c r="G1" s="90"/>
      <c r="H1" s="90"/>
    </row>
    <row r="2" spans="1:8" ht="24" customHeight="1" x14ac:dyDescent="0.3">
      <c r="A2" s="91" t="s">
        <v>257</v>
      </c>
      <c r="B2" s="91"/>
      <c r="C2" s="91"/>
      <c r="D2" s="91"/>
      <c r="E2" s="91"/>
      <c r="F2" s="91"/>
      <c r="G2" s="91"/>
      <c r="H2" s="91"/>
    </row>
    <row r="4" spans="1:8" ht="30" customHeight="1" x14ac:dyDescent="0.3">
      <c r="A4" s="92" t="s">
        <v>1</v>
      </c>
      <c r="B4" s="92" t="s">
        <v>258</v>
      </c>
      <c r="C4" s="92" t="s">
        <v>259</v>
      </c>
      <c r="D4" s="92" t="s">
        <v>260</v>
      </c>
      <c r="E4" s="92" t="s">
        <v>261</v>
      </c>
      <c r="F4" s="92" t="s">
        <v>262</v>
      </c>
    </row>
    <row r="5" spans="1:8" x14ac:dyDescent="0.3">
      <c r="A5" s="93" t="s">
        <v>7</v>
      </c>
      <c r="B5" s="95">
        <f>SUMIFS('40'!$F$2:$F$41,'40'!$C$2:$C$41,$A5,'40'!$A$2:$A$41,"&gt;="&amp;DATE(2025,1,1),'40'!$A$2:$A$41,"&lt;"&amp;DATE(2026,1,1))</f>
        <v>34800</v>
      </c>
      <c r="C5" s="95">
        <f>SUMIFS('40'!$F$2:$F$41,'40'!$C$2:$C$41,$A5,'40'!$A$2:$A$41,"&gt;="&amp;DATE(2026,1,1),'40'!$A$2:$A$41,"&lt;"&amp;DATE(2027,1,1))</f>
        <v>104500</v>
      </c>
      <c r="D5" s="95">
        <f>C5-B5</f>
        <v>69700</v>
      </c>
      <c r="E5" s="96">
        <f>IFERROR(D5/B5,0)</f>
        <v>2.0028735632183907</v>
      </c>
      <c r="F5" s="96">
        <f>IFERROR((C5/COUNTIFS('40'!$C$2:$C$41,$A5,'40'!$A$2:$A$41,"&gt;="&amp;DATE(2026,1,1),'40'!$A$2:$A$41,"&lt;"&amp;DATE(2027,1,1)))/(B5/COUNTIFS('40'!$C$2:$C$41,$A5,'40'!$A$2:$A$41,"&gt;="&amp;DATE(2025,1,1),'40'!$A$2:$A$41,"&lt;"&amp;DATE(2026,1,1)))-1,0)</f>
        <v>0.28694581280788189</v>
      </c>
    </row>
    <row r="6" spans="1:8" x14ac:dyDescent="0.3">
      <c r="A6" s="93" t="s">
        <v>9</v>
      </c>
      <c r="B6" s="95">
        <f>SUMIFS('40'!$F$2:$F$41,'40'!$C$2:$C$41,$A6,'40'!$A$2:$A$41,"&gt;="&amp;DATE(2025,1,1),'40'!$A$2:$A$41,"&lt;"&amp;DATE(2026,1,1))</f>
        <v>24900</v>
      </c>
      <c r="C6" s="95">
        <f>SUMIFS('40'!$F$2:$F$41,'40'!$C$2:$C$41,$A6,'40'!$A$2:$A$41,"&gt;="&amp;DATE(2026,1,1),'40'!$A$2:$A$41,"&lt;"&amp;DATE(2027,1,1))</f>
        <v>67700</v>
      </c>
      <c r="D6" s="95">
        <f t="shared" ref="D6:D8" si="0">C6-B6</f>
        <v>42800</v>
      </c>
      <c r="E6" s="96">
        <f t="shared" ref="E6:E9" si="1">IFERROR(D6/B6,0)</f>
        <v>1.7188755020080322</v>
      </c>
      <c r="F6" s="96">
        <f>IFERROR((C6/COUNTIFS('40'!$C$2:$C$41,$A6,'40'!$A$2:$A$41,"&gt;="&amp;DATE(2026,1,1),'40'!$A$2:$A$41,"&lt;"&amp;DATE(2027,1,1)))/(B6/COUNTIFS('40'!$C$2:$C$41,$A6,'40'!$A$2:$A$41,"&gt;="&amp;DATE(2025,1,1),'40'!$A$2:$A$41,"&lt;"&amp;DATE(2026,1,1)))-1,0)</f>
        <v>0.16523235800344227</v>
      </c>
    </row>
    <row r="7" spans="1:8" x14ac:dyDescent="0.3">
      <c r="A7" s="93" t="s">
        <v>11</v>
      </c>
      <c r="B7" s="95">
        <f>SUMIFS('40'!$F$2:$F$41,'40'!$C$2:$C$41,$A7,'40'!$A$2:$A$41,"&gt;="&amp;DATE(2025,1,1),'40'!$A$2:$A$41,"&lt;"&amp;DATE(2026,1,1))</f>
        <v>10600</v>
      </c>
      <c r="C7" s="95">
        <f>SUMIFS('40'!$F$2:$F$41,'40'!$C$2:$C$41,$A7,'40'!$A$2:$A$41,"&gt;="&amp;DATE(2026,1,1),'40'!$A$2:$A$41,"&lt;"&amp;DATE(2027,1,1))</f>
        <v>31600</v>
      </c>
      <c r="D7" s="95">
        <f t="shared" si="0"/>
        <v>21000</v>
      </c>
      <c r="E7" s="96">
        <f t="shared" si="1"/>
        <v>1.9811320754716981</v>
      </c>
      <c r="F7" s="96">
        <f>IFERROR((C7/COUNTIFS('40'!$C$2:$C$41,$A7,'40'!$A$2:$A$41,"&gt;="&amp;DATE(2026,1,1),'40'!$A$2:$A$41,"&lt;"&amp;DATE(2027,1,1)))/(B7/COUNTIFS('40'!$C$2:$C$41,$A7,'40'!$A$2:$A$41,"&gt;="&amp;DATE(2025,1,1),'40'!$A$2:$A$41,"&lt;"&amp;DATE(2026,1,1)))-1,0)</f>
        <v>0.27762803234501354</v>
      </c>
    </row>
    <row r="8" spans="1:8" x14ac:dyDescent="0.3">
      <c r="A8" s="93" t="s">
        <v>13</v>
      </c>
      <c r="B8" s="95">
        <f>SUMIFS('40'!$F$2:$F$41,'40'!$C$2:$C$41,$A8,'40'!$A$2:$A$41,"&gt;="&amp;DATE(2025,1,1),'40'!$A$2:$A$41,"&lt;"&amp;DATE(2026,1,1))</f>
        <v>8000</v>
      </c>
      <c r="C8" s="95">
        <f>SUMIFS('40'!$F$2:$F$41,'40'!$C$2:$C$41,$A8,'40'!$A$2:$A$41,"&gt;="&amp;DATE(2026,1,1),'40'!$A$2:$A$41,"&lt;"&amp;DATE(2027,1,1))</f>
        <v>23100</v>
      </c>
      <c r="D8" s="95">
        <f t="shared" si="0"/>
        <v>15100</v>
      </c>
      <c r="E8" s="96">
        <f t="shared" si="1"/>
        <v>1.8875</v>
      </c>
      <c r="F8" s="96">
        <f>IFERROR((C8/COUNTIFS('40'!$C$2:$C$41,$A8,'40'!$A$2:$A$41,"&gt;="&amp;DATE(2026,1,1),'40'!$A$2:$A$41,"&lt;"&amp;DATE(2027,1,1)))/(B8/COUNTIFS('40'!$C$2:$C$41,$A8,'40'!$A$2:$A$41,"&gt;="&amp;DATE(2025,1,1),'40'!$A$2:$A$41,"&lt;"&amp;DATE(2026,1,1)))-1,0)</f>
        <v>0.23750000000000004</v>
      </c>
    </row>
    <row r="9" spans="1:8" x14ac:dyDescent="0.3">
      <c r="A9" s="66" t="s">
        <v>263</v>
      </c>
      <c r="B9" s="97">
        <f>SUM(B5:B8)</f>
        <v>78300</v>
      </c>
      <c r="C9" s="97">
        <f>SUM(C5:C8)</f>
        <v>226900</v>
      </c>
      <c r="D9" s="97">
        <f>C9-B9</f>
        <v>148600</v>
      </c>
      <c r="E9" s="98">
        <f>IFERROR(D9/B9,0)</f>
        <v>1.8978288633461047</v>
      </c>
      <c r="F9" s="98">
        <f>IFERROR((C9/COUNTIFS('40'!$A$2:$A$41,"&gt;="&amp;DATE(2026,1,1),'40'!$A$2:$A$41,"&lt;"&amp;DATE(2027,1,1)))/(B9/COUNTIFS('40'!$A$2:$A$41,"&gt;="&amp;DATE(2025,1,1),'40'!$A$2:$A$41,"&lt;"&amp;DATE(2026,1,1)))-1,0)</f>
        <v>0.24192665571975924</v>
      </c>
    </row>
    <row r="11" spans="1:8" ht="22.05" customHeight="1" x14ac:dyDescent="0.3">
      <c r="A11" s="99" t="s">
        <v>41</v>
      </c>
      <c r="B11" s="99"/>
      <c r="C11" s="99"/>
      <c r="D11" s="99"/>
      <c r="E11" s="99"/>
      <c r="F11" s="99"/>
      <c r="G11" s="99"/>
      <c r="H11" s="99"/>
    </row>
    <row r="12" spans="1:8" x14ac:dyDescent="0.3">
      <c r="A12" s="100" t="str">
        <f>"1. "&amp;INDEX($A$5:$A$8,MATCH(MAX($D$5:$D$8),$D$5:$D$8,0))&amp;" posted the largest total increase: "&amp;TEXT(MAX($D$5:$D$8),"#,##0")&amp;" ("&amp;TEXT(INDEX($E$5:$E$8,MATCH(MAX($D$5:$D$8),$D$5:$D$8,0)),"0.0%")&amp;")."</f>
        <v>1. Laptop posted the largest total increase: 69,700 (200.3%).</v>
      </c>
      <c r="B12" s="100"/>
      <c r="C12" s="100"/>
      <c r="D12" s="100"/>
      <c r="E12" s="100"/>
      <c r="F12" s="100"/>
      <c r="G12" s="100"/>
      <c r="H12" s="100"/>
    </row>
    <row r="13" spans="1:8" x14ac:dyDescent="0.3">
      <c r="A13" s="100" t="str">
        <f>"2. Total product sales increased by "&amp;TEXT($D$9,"#,##0")&amp;", from "&amp;TEXT($B$9,"#,##0")&amp;" in 2025 to "&amp;TEXT($C$9,"#,##0")&amp;" in 2026 ("&amp;TEXT($E$9,"0.0%")&amp;")."</f>
        <v>2. Total product sales increased by 148,600, from 78,300 in 2025 to 226,900 in 2026 (189.8%).</v>
      </c>
      <c r="B13" s="100"/>
      <c r="C13" s="100"/>
      <c r="D13" s="100"/>
      <c r="E13" s="100"/>
      <c r="F13" s="100"/>
      <c r="G13" s="100"/>
      <c r="H13" s="100"/>
    </row>
    <row r="14" spans="1:8" x14ac:dyDescent="0.3">
      <c r="A14" s="100" t="str">
        <f>"3. Coverage is unequal: "&amp;COUNTIFS('40'!$A$2:$A$41,"&gt;="&amp;DATE(2025,1,1),'40'!$A$2:$A$41,"&lt;"&amp;DATE(2026,1,1))&amp;" records in 2025 versus "&amp;COUNTIFS('40'!$A$2:$A$41,"&gt;="&amp;DATE(2026,1,1),'40'!$A$2:$A$41,"&lt;"&amp;DATE(2027,1,1))&amp;" in 2026; average sales per record rose "&amp;TEXT($F$9,"0.0%")&amp;"."</f>
        <v>3. Coverage is unequal: 12 records in 2025 versus 28 in 2026; average sales per record rose 24.2%.</v>
      </c>
      <c r="B14" s="100"/>
      <c r="C14" s="100"/>
      <c r="D14" s="100"/>
      <c r="E14" s="100"/>
      <c r="F14" s="100"/>
      <c r="G14" s="100"/>
      <c r="H14" s="100"/>
    </row>
  </sheetData>
  <mergeCells count="6">
    <mergeCell ref="A1:H1"/>
    <mergeCell ref="A2:H2"/>
    <mergeCell ref="A11:H11"/>
    <mergeCell ref="A12:H12"/>
    <mergeCell ref="A13:H13"/>
    <mergeCell ref="A14:H14"/>
  </mergeCells>
  <conditionalFormatting sqref="D5:D8">
    <cfRule type="expression" dxfId="5" priority="1">
      <formula>D5=MAX($D$5:$D$8)</formula>
    </cfRule>
  </conditionalFormatting>
  <conditionalFormatting sqref="F5:F8">
    <cfRule type="expression" dxfId="4" priority="2">
      <formula>F5=MAX($F$5:$F$8)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CFFC-CA11-4EA6-87D8-57720AB7F3E2}">
  <dimension ref="A1:P41"/>
  <sheetViews>
    <sheetView showGridLines="0" topLeftCell="H1" workbookViewId="0"/>
  </sheetViews>
  <sheetFormatPr defaultRowHeight="14.4" x14ac:dyDescent="0.3"/>
  <cols>
    <col min="1" max="1" width="9.5546875" bestFit="1" customWidth="1"/>
    <col min="2" max="2" width="13.44140625" bestFit="1" customWidth="1"/>
    <col min="3" max="3" width="8.44140625" bestFit="1" customWidth="1"/>
    <col min="4" max="4" width="10.88671875" bestFit="1" customWidth="1"/>
    <col min="5" max="5" width="6.5546875" bestFit="1" customWidth="1"/>
    <col min="6" max="6" width="6" bestFit="1" customWidth="1"/>
    <col min="7" max="7" width="5.5546875" bestFit="1" customWidth="1"/>
    <col min="8" max="8" width="11" bestFit="1" customWidth="1"/>
    <col min="9" max="9" width="17.21875" bestFit="1" customWidth="1"/>
    <col min="10" max="10" width="6.6640625" bestFit="1" customWidth="1"/>
    <col min="11" max="12" width="15.77734375" customWidth="1"/>
    <col min="13" max="13" width="17.5546875" customWidth="1"/>
    <col min="15" max="15" width="19.44140625" customWidth="1"/>
    <col min="16" max="16" width="44.44140625" customWidth="1"/>
  </cols>
  <sheetData>
    <row r="1" spans="1:16" s="17" customFormat="1" ht="24" customHeight="1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K1" s="92" t="s">
        <v>264</v>
      </c>
      <c r="L1" s="92" t="s">
        <v>94</v>
      </c>
      <c r="M1" s="92" t="s">
        <v>265</v>
      </c>
      <c r="O1" s="103" t="s">
        <v>266</v>
      </c>
      <c r="P1" s="103"/>
    </row>
    <row r="2" spans="1:16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K2" s="101">
        <f>F2-H2</f>
        <v>500</v>
      </c>
      <c r="L2" s="102">
        <f>IFERROR(K2/H2,0)</f>
        <v>4.1666666666666664E-2</v>
      </c>
      <c r="M2" t="str">
        <f>IF(K2&gt;0,"Above Target",IF(K2&lt;0,"Below Target","On Target"))</f>
        <v>Above Target</v>
      </c>
      <c r="O2" s="104" t="s">
        <v>111</v>
      </c>
      <c r="P2" s="104" t="s">
        <v>267</v>
      </c>
    </row>
    <row r="3" spans="1:16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K3" s="101">
        <f t="shared" ref="K3:K41" si="0">F3-H3</f>
        <v>-800</v>
      </c>
      <c r="L3" s="102">
        <f t="shared" ref="L3:L41" si="1">IFERROR(K3/H3,0)</f>
        <v>-8.8888888888888892E-2</v>
      </c>
      <c r="M3" t="str">
        <f t="shared" ref="M3:M41" si="2">IF(K3&gt;0,"Above Target",IF(K3&lt;0,"Below Target","On Target"))</f>
        <v>Below Target</v>
      </c>
      <c r="O3" s="40" t="s">
        <v>268</v>
      </c>
      <c r="P3" s="107" t="str">
        <f>TEXT(INDEX($A$2:$A$41,MATCH(MAX($K$2:$K$41),$K$2:$K$41,0)),"d-mmm-yy")&amp;" | "&amp;INDEX($B$2:$B$41,MATCH(MAX($K$2:$K$41),$K$2:$K$41,0))&amp;" | "&amp;INDEX($C$2:$C$41,MATCH(MAX($K$2:$K$41),$K$2:$K$41,0))&amp;" | +"&amp;TEXT(MAX($K$2:$K$41),"#,##0")</f>
        <v>15-Nov-26 | City Electronics | Laptop | +1,500</v>
      </c>
    </row>
    <row r="4" spans="1:16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K4" s="101">
        <f t="shared" si="0"/>
        <v>500</v>
      </c>
      <c r="L4" s="102">
        <f t="shared" si="1"/>
        <v>0.16666666666666666</v>
      </c>
      <c r="M4" t="str">
        <f t="shared" si="2"/>
        <v>Above Target</v>
      </c>
      <c r="O4" s="105" t="s">
        <v>269</v>
      </c>
      <c r="P4" s="108" t="str">
        <f>TEXT(INDEX($A$2:$A$41,MATCH(MIN($K$2:$K$41),$K$2:$K$41,0)),"d-mmm-yy")&amp;" | "&amp;INDEX($B$2:$B$41,MATCH(MIN($K$2:$K$41),$K$2:$K$41,0))&amp;" | "&amp;INDEX($C$2:$C$41,MATCH(MIN($K$2:$K$41),$K$2:$K$41,0))&amp;" | "&amp;TEXT(MIN($K$2:$K$41),"#,##0")</f>
        <v>15-Jan-26 | Global Stores | Monitor | -800</v>
      </c>
    </row>
    <row r="5" spans="1:16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K5" s="101">
        <f t="shared" si="0"/>
        <v>300</v>
      </c>
      <c r="L5" s="102">
        <f t="shared" si="1"/>
        <v>0.12</v>
      </c>
      <c r="M5" t="str">
        <f t="shared" si="2"/>
        <v>Above Target</v>
      </c>
    </row>
    <row r="6" spans="1:16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K6" s="101">
        <f t="shared" si="0"/>
        <v>800</v>
      </c>
      <c r="L6" s="102">
        <f t="shared" si="1"/>
        <v>5.7142857142857141E-2</v>
      </c>
      <c r="M6" t="str">
        <f t="shared" si="2"/>
        <v>Above Target</v>
      </c>
      <c r="O6" s="104" t="s">
        <v>95</v>
      </c>
      <c r="P6" s="104" t="s">
        <v>270</v>
      </c>
    </row>
    <row r="7" spans="1:16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K7" s="101">
        <f t="shared" si="0"/>
        <v>-500</v>
      </c>
      <c r="L7" s="102">
        <f t="shared" si="1"/>
        <v>-0.05</v>
      </c>
      <c r="M7" t="str">
        <f t="shared" si="2"/>
        <v>Below Target</v>
      </c>
      <c r="O7" s="94" t="s">
        <v>271</v>
      </c>
      <c r="P7" s="106">
        <f>COUNTIF($M$2:$M$41,O7)</f>
        <v>23</v>
      </c>
    </row>
    <row r="8" spans="1:16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K8" s="101">
        <f t="shared" si="0"/>
        <v>200</v>
      </c>
      <c r="L8" s="102">
        <f t="shared" si="1"/>
        <v>0.05</v>
      </c>
      <c r="M8" t="str">
        <f t="shared" si="2"/>
        <v>Above Target</v>
      </c>
      <c r="O8" s="94" t="s">
        <v>272</v>
      </c>
      <c r="P8" s="106">
        <f t="shared" ref="P8:P9" si="3">COUNTIF($M$2:$M$41,O8)</f>
        <v>17</v>
      </c>
    </row>
    <row r="9" spans="1:16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K9" s="101">
        <f t="shared" si="0"/>
        <v>100</v>
      </c>
      <c r="L9" s="102">
        <f t="shared" si="1"/>
        <v>3.3333333333333333E-2</v>
      </c>
      <c r="M9" t="str">
        <f t="shared" si="2"/>
        <v>Above Target</v>
      </c>
      <c r="O9" s="94" t="s">
        <v>273</v>
      </c>
      <c r="P9" s="106">
        <f t="shared" si="3"/>
        <v>0</v>
      </c>
    </row>
    <row r="10" spans="1:16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  <c r="K10" s="101">
        <f t="shared" si="0"/>
        <v>200</v>
      </c>
      <c r="L10" s="102">
        <f t="shared" si="1"/>
        <v>1.5384615384615385E-2</v>
      </c>
      <c r="M10" t="str">
        <f t="shared" si="2"/>
        <v>Above Target</v>
      </c>
    </row>
    <row r="11" spans="1:16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  <c r="K11" s="101">
        <f t="shared" si="0"/>
        <v>200</v>
      </c>
      <c r="L11" s="102">
        <f t="shared" si="1"/>
        <v>2.3529411764705882E-2</v>
      </c>
      <c r="M11" t="str">
        <f t="shared" si="2"/>
        <v>Above Target</v>
      </c>
    </row>
    <row r="12" spans="1:16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  <c r="K12" s="101">
        <f t="shared" si="0"/>
        <v>-100</v>
      </c>
      <c r="L12" s="102">
        <f t="shared" si="1"/>
        <v>-2.5000000000000001E-2</v>
      </c>
      <c r="M12" t="str">
        <f t="shared" si="2"/>
        <v>Below Target</v>
      </c>
    </row>
    <row r="13" spans="1:16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  <c r="K13" s="101">
        <f t="shared" si="0"/>
        <v>-200</v>
      </c>
      <c r="L13" s="102">
        <f t="shared" si="1"/>
        <v>-7.1428571428571425E-2</v>
      </c>
      <c r="M13" t="str">
        <f t="shared" si="2"/>
        <v>Below Target</v>
      </c>
    </row>
    <row r="14" spans="1:16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  <c r="K14" s="101">
        <f t="shared" si="0"/>
        <v>500</v>
      </c>
      <c r="L14" s="102">
        <f t="shared" si="1"/>
        <v>3.3333333333333333E-2</v>
      </c>
      <c r="M14" t="str">
        <f t="shared" si="2"/>
        <v>Above Target</v>
      </c>
    </row>
    <row r="15" spans="1:16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  <c r="K15" s="101">
        <f t="shared" si="0"/>
        <v>100</v>
      </c>
      <c r="L15" s="102">
        <f t="shared" si="1"/>
        <v>1.1111111111111112E-2</v>
      </c>
      <c r="M15" t="str">
        <f t="shared" si="2"/>
        <v>Above Target</v>
      </c>
    </row>
    <row r="16" spans="1:16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  <c r="K16" s="101">
        <f t="shared" si="0"/>
        <v>300</v>
      </c>
      <c r="L16" s="102">
        <f t="shared" si="1"/>
        <v>7.1428571428571425E-2</v>
      </c>
      <c r="M16" t="str">
        <f t="shared" si="2"/>
        <v>Above Target</v>
      </c>
    </row>
    <row r="17" spans="1:13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  <c r="K17" s="101">
        <f t="shared" si="0"/>
        <v>200</v>
      </c>
      <c r="L17" s="102">
        <f t="shared" si="1"/>
        <v>6.6666666666666666E-2</v>
      </c>
      <c r="M17" t="str">
        <f t="shared" si="2"/>
        <v>Above Target</v>
      </c>
    </row>
    <row r="18" spans="1:13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  <c r="K18" s="101">
        <f t="shared" si="0"/>
        <v>1300</v>
      </c>
      <c r="L18" s="102">
        <f t="shared" si="1"/>
        <v>8.387096774193549E-2</v>
      </c>
      <c r="M18" t="str">
        <f t="shared" si="2"/>
        <v>Above Target</v>
      </c>
    </row>
    <row r="19" spans="1:13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  <c r="K19" s="101">
        <f t="shared" si="0"/>
        <v>700</v>
      </c>
      <c r="L19" s="102">
        <f t="shared" si="1"/>
        <v>7.3684210526315783E-2</v>
      </c>
      <c r="M19" t="str">
        <f t="shared" si="2"/>
        <v>Above Target</v>
      </c>
    </row>
    <row r="20" spans="1:13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  <c r="K20" s="101">
        <f t="shared" si="0"/>
        <v>300</v>
      </c>
      <c r="L20" s="102">
        <f t="shared" si="1"/>
        <v>6.6666666666666666E-2</v>
      </c>
      <c r="M20" t="str">
        <f t="shared" si="2"/>
        <v>Above Target</v>
      </c>
    </row>
    <row r="21" spans="1:13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  <c r="K21" s="101">
        <f t="shared" si="0"/>
        <v>300</v>
      </c>
      <c r="L21" s="102">
        <f t="shared" si="1"/>
        <v>9.375E-2</v>
      </c>
      <c r="M21" t="str">
        <f t="shared" si="2"/>
        <v>Above Target</v>
      </c>
    </row>
    <row r="22" spans="1:13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  <c r="K22" s="101">
        <f t="shared" si="0"/>
        <v>-300</v>
      </c>
      <c r="L22" s="102">
        <f t="shared" si="1"/>
        <v>-2.0689655172413793E-2</v>
      </c>
      <c r="M22" t="str">
        <f t="shared" si="2"/>
        <v>Below Target</v>
      </c>
    </row>
    <row r="23" spans="1:13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  <c r="K23" s="101">
        <f t="shared" si="0"/>
        <v>700</v>
      </c>
      <c r="L23" s="102">
        <f t="shared" si="1"/>
        <v>6.6666666666666666E-2</v>
      </c>
      <c r="M23" t="str">
        <f t="shared" si="2"/>
        <v>Above Target</v>
      </c>
    </row>
    <row r="24" spans="1:13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  <c r="K24" s="101">
        <f t="shared" si="0"/>
        <v>400</v>
      </c>
      <c r="L24" s="102">
        <f t="shared" si="1"/>
        <v>8.3333333333333329E-2</v>
      </c>
      <c r="M24" t="str">
        <f t="shared" si="2"/>
        <v>Above Target</v>
      </c>
    </row>
    <row r="25" spans="1:13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  <c r="K25" s="101">
        <f t="shared" si="0"/>
        <v>300</v>
      </c>
      <c r="L25" s="102">
        <f t="shared" si="1"/>
        <v>8.5714285714285715E-2</v>
      </c>
      <c r="M25" t="str">
        <f t="shared" si="2"/>
        <v>Above Target</v>
      </c>
    </row>
    <row r="26" spans="1:13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  <c r="K26" s="101">
        <f t="shared" si="0"/>
        <v>1500</v>
      </c>
      <c r="L26" s="102">
        <f t="shared" si="1"/>
        <v>9.375E-2</v>
      </c>
      <c r="M26" t="str">
        <f t="shared" si="2"/>
        <v>Above Target</v>
      </c>
    </row>
    <row r="27" spans="1:13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  <c r="K27" s="101">
        <f t="shared" si="0"/>
        <v>-200</v>
      </c>
      <c r="L27" s="102">
        <f t="shared" si="1"/>
        <v>-1.8181818181818181E-2</v>
      </c>
      <c r="M27" t="str">
        <f t="shared" si="2"/>
        <v>Below Target</v>
      </c>
    </row>
    <row r="28" spans="1:13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  <c r="K28" s="101">
        <f t="shared" si="0"/>
        <v>500</v>
      </c>
      <c r="L28" s="102">
        <f t="shared" si="1"/>
        <v>0.1</v>
      </c>
      <c r="M28" t="str">
        <f t="shared" si="2"/>
        <v>Above Target</v>
      </c>
    </row>
    <row r="29" spans="1:13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  <c r="K29" s="101">
        <f t="shared" si="0"/>
        <v>300</v>
      </c>
      <c r="L29" s="102">
        <f t="shared" si="1"/>
        <v>7.8947368421052627E-2</v>
      </c>
      <c r="M29" t="str">
        <f t="shared" si="2"/>
        <v>Above Target</v>
      </c>
    </row>
    <row r="30" spans="1:13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  <c r="K30" s="101">
        <f t="shared" si="0"/>
        <v>-500</v>
      </c>
      <c r="L30" s="102">
        <f t="shared" si="1"/>
        <v>-4.5454545454545456E-2</v>
      </c>
      <c r="M30" t="str">
        <f t="shared" si="2"/>
        <v>Below Target</v>
      </c>
    </row>
    <row r="31" spans="1:13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  <c r="K31" s="101">
        <f t="shared" si="0"/>
        <v>-400</v>
      </c>
      <c r="L31" s="102">
        <f t="shared" si="1"/>
        <v>-0.05</v>
      </c>
      <c r="M31" t="str">
        <f t="shared" si="2"/>
        <v>Below Target</v>
      </c>
    </row>
    <row r="32" spans="1:13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  <c r="K32" s="101">
        <f t="shared" si="0"/>
        <v>-300</v>
      </c>
      <c r="L32" s="102">
        <f t="shared" si="1"/>
        <v>-8.5714285714285715E-2</v>
      </c>
      <c r="M32" t="str">
        <f t="shared" si="2"/>
        <v>Below Target</v>
      </c>
    </row>
    <row r="33" spans="1:13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  <c r="K33" s="101">
        <f t="shared" si="0"/>
        <v>-200</v>
      </c>
      <c r="L33" s="102">
        <f t="shared" si="1"/>
        <v>-7.6923076923076927E-2</v>
      </c>
      <c r="M33" t="str">
        <f t="shared" si="2"/>
        <v>Below Target</v>
      </c>
    </row>
    <row r="34" spans="1:13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  <c r="K34" s="101">
        <f t="shared" si="0"/>
        <v>-200</v>
      </c>
      <c r="L34" s="102">
        <f t="shared" si="1"/>
        <v>-1.6666666666666666E-2</v>
      </c>
      <c r="M34" t="str">
        <f t="shared" si="2"/>
        <v>Below Target</v>
      </c>
    </row>
    <row r="35" spans="1:13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  <c r="K35" s="101">
        <f t="shared" si="0"/>
        <v>-100</v>
      </c>
      <c r="L35" s="102">
        <f t="shared" si="1"/>
        <v>-1.1764705882352941E-2</v>
      </c>
      <c r="M35" t="str">
        <f t="shared" si="2"/>
        <v>Below Target</v>
      </c>
    </row>
    <row r="36" spans="1:13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  <c r="K36" s="101">
        <f t="shared" si="0"/>
        <v>-300</v>
      </c>
      <c r="L36" s="102">
        <f t="shared" si="1"/>
        <v>-7.8947368421052627E-2</v>
      </c>
      <c r="M36" t="str">
        <f t="shared" si="2"/>
        <v>Below Target</v>
      </c>
    </row>
    <row r="37" spans="1:13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  <c r="K37" s="101">
        <f t="shared" si="0"/>
        <v>-100</v>
      </c>
      <c r="L37" s="102">
        <f t="shared" si="1"/>
        <v>-3.5714285714285712E-2</v>
      </c>
      <c r="M37" t="str">
        <f t="shared" si="2"/>
        <v>Below Target</v>
      </c>
    </row>
    <row r="38" spans="1:13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  <c r="K38" s="101">
        <f t="shared" si="0"/>
        <v>500</v>
      </c>
      <c r="L38" s="102">
        <f t="shared" si="1"/>
        <v>4.1666666666666664E-2</v>
      </c>
      <c r="M38" t="str">
        <f t="shared" si="2"/>
        <v>Above Target</v>
      </c>
    </row>
    <row r="39" spans="1:13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  <c r="K39" s="101">
        <f t="shared" si="0"/>
        <v>-100</v>
      </c>
      <c r="L39" s="102">
        <f t="shared" si="1"/>
        <v>-1.1111111111111112E-2</v>
      </c>
      <c r="M39" t="str">
        <f t="shared" si="2"/>
        <v>Below Target</v>
      </c>
    </row>
    <row r="40" spans="1:13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  <c r="K40" s="101">
        <f t="shared" si="0"/>
        <v>-100</v>
      </c>
      <c r="L40" s="102">
        <f t="shared" si="1"/>
        <v>-2.5000000000000001E-2</v>
      </c>
      <c r="M40" t="str">
        <f t="shared" si="2"/>
        <v>Below Target</v>
      </c>
    </row>
    <row r="41" spans="1:13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  <c r="K41" s="101">
        <f t="shared" si="0"/>
        <v>-100</v>
      </c>
      <c r="L41" s="102">
        <f t="shared" si="1"/>
        <v>-3.3333333333333333E-2</v>
      </c>
      <c r="M41" t="str">
        <f t="shared" si="2"/>
        <v>Below Target</v>
      </c>
    </row>
  </sheetData>
  <mergeCells count="1">
    <mergeCell ref="O1:P1"/>
  </mergeCells>
  <conditionalFormatting sqref="K2:K41">
    <cfRule type="expression" dxfId="3" priority="1">
      <formula>K2=MAX($K$2:$K$41)</formula>
    </cfRule>
  </conditionalFormatting>
  <conditionalFormatting sqref="K2:K41">
    <cfRule type="expression" dxfId="2" priority="2">
      <formula>K2=MIN($K$2:$K$41)</formula>
    </cfRule>
  </conditionalFormatting>
  <conditionalFormatting sqref="L2:L41">
    <cfRule type="expression" dxfId="1" priority="3">
      <formula>L2=MAX($L$2:$L$41)</formula>
    </cfRule>
  </conditionalFormatting>
  <conditionalFormatting sqref="L2:L41">
    <cfRule type="expression" dxfId="0" priority="4">
      <formula>L2=MIN($L$2:$L$41)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05A3-BFD4-4FB7-91C2-6AB8C05EBE88}">
  <dimension ref="A1:J41"/>
  <sheetViews>
    <sheetView showGridLines="0" workbookViewId="0">
      <selection activeCell="F14" sqref="F14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A373-EAB6-42F0-8AAE-61D3EB3AE9AC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C19D-745F-4FD2-BF2A-C6EBF0598D20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85C2-117A-4A63-BA69-A65B2A501FE6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A7C6-212E-4D48-B6A9-C254BDCF761E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49-1E33-4BE8-9C8D-986390B40208}">
  <dimension ref="A1:M41"/>
  <sheetViews>
    <sheetView showGridLines="0" workbookViewId="0">
      <selection activeCell="M3" sqref="M3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7.6640625" bestFit="1" customWidth="1"/>
    <col min="13" max="13" width="12.44140625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18" t="s">
        <v>29</v>
      </c>
      <c r="M1" s="18" t="s">
        <v>16</v>
      </c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t="str" cm="1">
        <f t="array" ref="L2">_xlfn.LET(_xlpm.p,_xlfn.UNIQUE($C$2:$C$41),_xlpm.a,AVERAGEIF($C$2:$C$41,_xlpm.p,$F$2:$F$41),INDEX(_xlfn.SORTBY(_xlpm.p,_xlpm.a,1),1))</f>
        <v>Mouse</v>
      </c>
      <c r="M2" s="7">
        <f>AVERAGEIF($C$2:$C$41,L2,$F$2:$F$41)</f>
        <v>3033.3333333333335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11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63AC-6C8B-42FC-8302-041481D8BF9A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9282-2E2D-4B72-A05D-48881A609B34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567B-4358-45B4-9240-5B763E6DA616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E770-560A-43B6-9F2F-A3527CB8AE6C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28B6-6C33-41BA-9065-3E231C4BB192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1BE3-326E-43DA-9DFB-BC7E6E4427A2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B57E-21AD-403A-8BF5-277BA4D67E02}">
  <dimension ref="A1:J41"/>
  <sheetViews>
    <sheetView showGridLines="0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EEA7-A575-4B62-9636-8DC46920EE2F}">
  <dimension ref="A1:J41"/>
  <sheetViews>
    <sheetView showGridLines="0" topLeftCell="A55" workbookViewId="0"/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AE4B-5B80-4440-82D4-68E0AF8910AB}">
  <dimension ref="A1:J61"/>
  <sheetViews>
    <sheetView showGridLines="0" topLeftCell="A41" zoomScale="81" workbookViewId="0">
      <selection activeCell="C25" sqref="C25"/>
    </sheetView>
  </sheetViews>
  <sheetFormatPr defaultRowHeight="14.4" x14ac:dyDescent="0.3"/>
  <cols>
    <col min="1" max="1" width="13.33203125" customWidth="1"/>
    <col min="2" max="2" width="17.5546875" customWidth="1"/>
    <col min="3" max="3" width="13" customWidth="1"/>
    <col min="4" max="4" width="14.77734375" customWidth="1"/>
    <col min="5" max="5" width="12" customWidth="1"/>
    <col min="6" max="7" width="13.88671875" customWidth="1"/>
    <col min="8" max="8" width="15.21875" customWidth="1"/>
    <col min="9" max="9" width="19.44140625" customWidth="1"/>
    <col min="10" max="10" width="10.21875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30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31</v>
      </c>
      <c r="B45" s="68"/>
      <c r="C45" s="68"/>
      <c r="D45" s="68"/>
      <c r="E45" s="68"/>
      <c r="F45" s="68"/>
      <c r="G45" s="68"/>
      <c r="H45" s="68"/>
      <c r="I45" s="68"/>
      <c r="J45" s="68"/>
    </row>
    <row r="47" spans="1:10" x14ac:dyDescent="0.3">
      <c r="A47" s="69" t="s">
        <v>32</v>
      </c>
      <c r="B47" s="69"/>
      <c r="C47" s="69" t="s">
        <v>33</v>
      </c>
      <c r="D47" s="69"/>
      <c r="E47" s="69" t="s">
        <v>34</v>
      </c>
      <c r="F47" s="69"/>
      <c r="G47" s="69" t="s">
        <v>35</v>
      </c>
      <c r="H47" s="69"/>
      <c r="I47" s="69" t="s">
        <v>36</v>
      </c>
      <c r="J47" s="69"/>
    </row>
    <row r="48" spans="1:10" ht="21" x14ac:dyDescent="0.4">
      <c r="A48" s="70">
        <f>SUM($F$2:$F$41)</f>
        <v>305200</v>
      </c>
      <c r="B48" s="71"/>
      <c r="C48" s="72">
        <f>SUM($G$2:$G$41)/SUM($F$2:$F$41)</f>
        <v>0.21200851900393186</v>
      </c>
      <c r="D48" s="72"/>
      <c r="E48" s="72">
        <f>SUM($F$2:$F$41)/SUM($I$2:$I$41)-1</f>
        <v>0.1392310563643151</v>
      </c>
      <c r="F48" s="72"/>
      <c r="G48" s="72">
        <f>SUM($F$2:$F$41)/SUM($H$2:$H$41)-1</f>
        <v>2.0735785953177155E-2</v>
      </c>
      <c r="H48" s="72"/>
      <c r="I48" s="74" cm="1">
        <f t="array" ref="I48">SUMPRODUCT(--($F$2:$F$41&gt;$H$2:$H$41))</f>
        <v>23</v>
      </c>
      <c r="J48" s="71"/>
    </row>
    <row r="49" spans="1:10" x14ac:dyDescent="0.3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x14ac:dyDescent="0.3">
      <c r="A50" s="20" t="s">
        <v>1</v>
      </c>
      <c r="B50" s="20" t="s">
        <v>3</v>
      </c>
      <c r="C50" s="20" t="s">
        <v>37</v>
      </c>
      <c r="D50" s="20" t="s">
        <v>38</v>
      </c>
      <c r="E50" s="20" t="s">
        <v>39</v>
      </c>
      <c r="F50" s="20" t="s">
        <v>2</v>
      </c>
      <c r="G50" s="20" t="s">
        <v>3</v>
      </c>
      <c r="H50" s="20" t="s">
        <v>37</v>
      </c>
      <c r="I50" s="20" t="s">
        <v>38</v>
      </c>
      <c r="J50" s="20" t="s">
        <v>40</v>
      </c>
    </row>
    <row r="51" spans="1:10" x14ac:dyDescent="0.3">
      <c r="A51" s="9" t="s">
        <v>7</v>
      </c>
      <c r="B51" s="23">
        <f>SUMIF($C$2:$C$41,A51,$F$2:$F$41)</f>
        <v>139300</v>
      </c>
      <c r="C51" s="24">
        <f>B51/SUM($F$2:$F$41)</f>
        <v>0.45642201834862384</v>
      </c>
      <c r="D51" s="24">
        <f>B51/SUMIF($C$2:$C$41,A51,$H$2:$H$41)-1</f>
        <v>3.1851851851851798E-2</v>
      </c>
      <c r="E51" s="24">
        <f>B51/SUMIF($C$2:$C$41,A51,$I$2:$I$41)-1</f>
        <v>0.15890183028286198</v>
      </c>
      <c r="F51" s="9" t="s">
        <v>12</v>
      </c>
      <c r="G51" s="23">
        <f>SUMIF($E$2:$E$41,F51,$F$2:$F$41)</f>
        <v>105700</v>
      </c>
      <c r="H51" s="24">
        <f>G51/SUM($F$2:$F$41)</f>
        <v>0.34633027522935778</v>
      </c>
      <c r="I51" s="24">
        <f>G51/SUMIF($E$2:$E$41,F51,$H$2:$H$41)-1</f>
        <v>4.3435340572556713E-2</v>
      </c>
      <c r="J51" s="25">
        <f>G51/SUMIF($E$2:$E$41,F51,$J$2:$J$41)</f>
        <v>266.91919191919192</v>
      </c>
    </row>
    <row r="52" spans="1:10" x14ac:dyDescent="0.3">
      <c r="A52" s="9" t="s">
        <v>9</v>
      </c>
      <c r="B52" s="23">
        <f t="shared" ref="B52:B54" si="0">SUMIF($C$2:$C$41,A52,$F$2:$F$41)</f>
        <v>92600</v>
      </c>
      <c r="C52" s="24">
        <f t="shared" ref="C52:C54" si="1">B52/SUM($F$2:$F$41)</f>
        <v>0.30340760157273916</v>
      </c>
      <c r="D52" s="24">
        <f t="shared" ref="D52:D54" si="2">B52/SUMIF($C$2:$C$41,A52,$H$2:$H$41)-1</f>
        <v>-4.3010752688171783E-3</v>
      </c>
      <c r="E52" s="24">
        <f t="shared" ref="E52:E54" si="3">B52/SUMIF($C$2:$C$41,A52,$I$2:$I$41)-1</f>
        <v>0.10898203592814371</v>
      </c>
      <c r="F52" s="9" t="s">
        <v>10</v>
      </c>
      <c r="G52" s="23">
        <f t="shared" ref="G52:G54" si="4">SUMIF($E$2:$E$41,F52,$F$2:$F$41)</f>
        <v>104300</v>
      </c>
      <c r="H52" s="24">
        <f t="shared" ref="H52:H54" si="5">G52/SUM($F$2:$F$41)</f>
        <v>0.34174311926605505</v>
      </c>
      <c r="I52" s="24">
        <f t="shared" ref="I52:I54" si="6">G52/SUMIF($E$2:$E$41,F52,$H$2:$H$41)-1</f>
        <v>1.2621359223300876E-2</v>
      </c>
      <c r="J52" s="25">
        <f t="shared" ref="J52:J54" si="7">G52/SUMIF($E$2:$E$41,F52,$J$2:$J$41)</f>
        <v>453.47826086956519</v>
      </c>
    </row>
    <row r="53" spans="1:10" x14ac:dyDescent="0.3">
      <c r="A53" s="9" t="s">
        <v>11</v>
      </c>
      <c r="B53" s="23">
        <f t="shared" si="0"/>
        <v>42200</v>
      </c>
      <c r="C53" s="24">
        <f t="shared" si="1"/>
        <v>0.1382699868938401</v>
      </c>
      <c r="D53" s="24">
        <f t="shared" si="2"/>
        <v>3.4313725490196179E-2</v>
      </c>
      <c r="E53" s="24">
        <f t="shared" si="3"/>
        <v>0.14673913043478271</v>
      </c>
      <c r="F53" s="9" t="s">
        <v>8</v>
      </c>
      <c r="G53" s="23">
        <f t="shared" si="4"/>
        <v>64100</v>
      </c>
      <c r="H53" s="24">
        <f t="shared" si="5"/>
        <v>0.2100262123197903</v>
      </c>
      <c r="I53" s="24">
        <f t="shared" si="6"/>
        <v>-6.2015503875969546E-3</v>
      </c>
      <c r="J53" s="25">
        <f t="shared" si="7"/>
        <v>252.36220472440945</v>
      </c>
    </row>
    <row r="54" spans="1:10" x14ac:dyDescent="0.3">
      <c r="A54" s="9" t="s">
        <v>13</v>
      </c>
      <c r="B54" s="23">
        <f t="shared" si="0"/>
        <v>31100</v>
      </c>
      <c r="C54" s="24">
        <f t="shared" si="1"/>
        <v>0.10190039318479685</v>
      </c>
      <c r="D54" s="24">
        <f t="shared" si="2"/>
        <v>2.9801324503311299E-2</v>
      </c>
      <c r="E54" s="24">
        <f t="shared" si="3"/>
        <v>0.13503649635036497</v>
      </c>
      <c r="F54" s="9" t="s">
        <v>14</v>
      </c>
      <c r="G54" s="23">
        <f t="shared" si="4"/>
        <v>31100</v>
      </c>
      <c r="H54" s="24">
        <f t="shared" si="5"/>
        <v>0.10190039318479685</v>
      </c>
      <c r="I54" s="24">
        <f t="shared" si="6"/>
        <v>2.9801324503311299E-2</v>
      </c>
      <c r="J54" s="25">
        <f t="shared" si="7"/>
        <v>68.805309734513273</v>
      </c>
    </row>
    <row r="56" spans="1:10" x14ac:dyDescent="0.3">
      <c r="A56" s="75" t="s">
        <v>41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0" ht="30" customHeight="1" x14ac:dyDescent="0.3">
      <c r="A57" s="73" t="str" cm="1">
        <f t="array" ref="A57">"1. Sales reached "&amp;TEXT(SUM($F$2:$F$41),"#,##0")&amp;", "&amp;TEXT(SUM($F$2:$F$41)/SUM($I$2:$I$41)-1,"0.0%")&amp;" above prior-year sales and "&amp;TEXT(SUM($F$2:$F$41)/SUM($H$2:$H$41)-1,"0.0%")&amp;" above target; "&amp;SUMPRODUCT(--($F$2:$F$41&gt;$H$2:$H$41))&amp;" of 40 records beat target."</f>
        <v>1. Sales reached 305,200, 13.9% above prior-year sales and 2.1% above target; 23 of 40 records beat target.</v>
      </c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30" customHeight="1" x14ac:dyDescent="0.3">
      <c r="A58" s="73" t="str">
        <f>"2. Laptop leads with "&amp;TEXT(SUMIF($C$2:$C$41,"Laptop",$F$2:$F$41),"#,##0")&amp;" ("&amp;TEXT(SUMIF($C$2:$C$41,"Laptop",$F$2:$F$41)/SUM($F$2:$F$41),"0.0%")&amp;" of sales); Mouse is lowest at "&amp;TEXT(SUMIF($C$2:$C$41,"Mouse",$F$2:$F$41),"#,##0")&amp;" despite having the most orders."</f>
        <v>2. Laptop leads with 139,300 (45.6% of sales); Mouse is lowest at 31,100 despite having the most orders.</v>
      </c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30" customHeight="1" x14ac:dyDescent="0.3">
      <c r="A59" s="73" t="str">
        <f>"3. East narrowly leads regions at "&amp;TEXT(SUMIF($E$2:$E$41,"East",$F$2:$F$41),"#,##0")&amp;", only "&amp;TEXT(SUMIF($E$2:$E$41,"East",$F$2:$F$41)-SUMIF($E$2:$E$41,"South",$F$2:$F$41),"#,##0")&amp;" ahead of South; West is lowest at "&amp;TEXT(SUMIF($E$2:$E$41,"West",$F$2:$F$41),"#,##0")&amp;"."</f>
        <v>3. East narrowly leads regions at 105,700, only 1,400 ahead of South; West is lowest at 31,100.</v>
      </c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30" customHeight="1" x14ac:dyDescent="0.3">
      <c r="A60" s="73" t="str">
        <f>"4. Overall profit margin is "&amp;TEXT(SUM($G$2:$G$41)/SUM($F$2:$F$41),"0.0%")&amp;"; Accessories run at 25.0% versus 20.0% for Electronics, giving smaller products better margins."</f>
        <v>4. Overall profit margin is 21.2%; Accessories run at 25.0% versus 20.0% for Electronics, giving smaller products better margins.</v>
      </c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30" customHeight="1" x14ac:dyDescent="0.3">
      <c r="A61" s="73" t="str" cm="1">
        <f t="array" ref="A61">"5. Average sales per record increased from "&amp;TEXT(SUMPRODUCT((YEAR($A$2:$A$41)=2025)*$F$2:$F$41)/SUMPRODUCT(--(YEAR($A$2:$A$41)=2025)),"#,##0")&amp;" in 2025 to "&amp;TEXT(SUMPRODUCT((YEAR($A$2:$A$41)=2026)*$F$2:$F$41)/SUMPRODUCT(--(YEAR($A$2:$A$41)=2026)),"#,##0")&amp;" in 2026; totals are not directly comparable because the dataset has 12 versus 28 records."</f>
        <v>5. Average sales per record increased from 6,525 in 2025 to 8,104 in 2026; totals are not directly comparable because the dataset has 12 versus 28 records.</v>
      </c>
      <c r="B61" s="73"/>
      <c r="C61" s="73"/>
      <c r="D61" s="73"/>
      <c r="E61" s="73"/>
      <c r="F61" s="73"/>
      <c r="G61" s="73"/>
      <c r="H61" s="73"/>
      <c r="I61" s="73"/>
      <c r="J61" s="73"/>
    </row>
  </sheetData>
  <mergeCells count="18">
    <mergeCell ref="A60:J60"/>
    <mergeCell ref="A61:J61"/>
    <mergeCell ref="I47:J47"/>
    <mergeCell ref="I48:J48"/>
    <mergeCell ref="A56:J56"/>
    <mergeCell ref="A57:J57"/>
    <mergeCell ref="A58:J58"/>
    <mergeCell ref="A59:J59"/>
    <mergeCell ref="A44:J44"/>
    <mergeCell ref="A45:J45"/>
    <mergeCell ref="A47:B47"/>
    <mergeCell ref="A48:B48"/>
    <mergeCell ref="C47:D47"/>
    <mergeCell ref="C48:D48"/>
    <mergeCell ref="E47:F47"/>
    <mergeCell ref="E48:F48"/>
    <mergeCell ref="G47:H47"/>
    <mergeCell ref="G48:H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7FA3-B2B3-44A0-89CA-50D9752B2260}">
  <dimension ref="A1:J56"/>
  <sheetViews>
    <sheetView showGridLines="0" topLeftCell="A44" zoomScale="90" zoomScaleNormal="90" workbookViewId="0">
      <selection activeCell="A44" sqref="A44:J56"/>
    </sheetView>
  </sheetViews>
  <sheetFormatPr defaultRowHeight="14.4" x14ac:dyDescent="0.3"/>
  <cols>
    <col min="1" max="1" width="12" customWidth="1"/>
    <col min="2" max="2" width="19.44140625" customWidth="1"/>
    <col min="3" max="3" width="15.77734375" customWidth="1"/>
    <col min="4" max="4" width="14.77734375" customWidth="1"/>
    <col min="5" max="5" width="21.33203125" customWidth="1"/>
    <col min="6" max="6" width="10.21875" customWidth="1"/>
    <col min="7" max="7" width="12" customWidth="1"/>
    <col min="8" max="8" width="15.77734375" customWidth="1"/>
    <col min="9" max="9" width="19.44140625" customWidth="1"/>
    <col min="10" max="10" width="10.21875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33">
        <v>2600</v>
      </c>
      <c r="G13" s="33">
        <v>650</v>
      </c>
      <c r="H13" s="33">
        <v>2800</v>
      </c>
      <c r="I13" s="33">
        <v>2500</v>
      </c>
      <c r="J13" s="33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34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42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43</v>
      </c>
      <c r="B45" s="68"/>
      <c r="C45" s="68"/>
      <c r="D45" s="68"/>
      <c r="E45" s="68"/>
      <c r="F45" s="68"/>
      <c r="G45" s="68"/>
      <c r="H45" s="68"/>
      <c r="I45" s="68"/>
      <c r="J45" s="68"/>
    </row>
    <row r="47" spans="1:10" x14ac:dyDescent="0.3">
      <c r="A47" s="75" t="s">
        <v>44</v>
      </c>
      <c r="B47" s="75"/>
      <c r="C47" s="75"/>
      <c r="D47" s="75"/>
      <c r="E47" s="75"/>
      <c r="F47" s="75"/>
      <c r="G47" s="75"/>
      <c r="H47" s="75"/>
      <c r="I47" s="75"/>
      <c r="J47" s="75"/>
    </row>
    <row r="48" spans="1:10" ht="42" customHeight="1" x14ac:dyDescent="0.3">
      <c r="A48" s="73" t="s">
        <v>45</v>
      </c>
      <c r="B48" s="73"/>
      <c r="C48" s="73"/>
      <c r="D48" s="73"/>
      <c r="E48" s="73"/>
      <c r="F48" s="73"/>
      <c r="G48" s="73"/>
      <c r="H48" s="73"/>
      <c r="I48" s="73"/>
      <c r="J48" s="73"/>
    </row>
    <row r="50" spans="1:10" x14ac:dyDescent="0.3">
      <c r="A50" s="20" t="s">
        <v>46</v>
      </c>
      <c r="B50" s="20" t="s">
        <v>47</v>
      </c>
      <c r="C50" s="20" t="s">
        <v>48</v>
      </c>
      <c r="D50" s="20" t="s">
        <v>49</v>
      </c>
      <c r="E50" s="20" t="s">
        <v>50</v>
      </c>
      <c r="F50" s="20" t="s">
        <v>51</v>
      </c>
      <c r="G50" s="20"/>
      <c r="H50" s="20"/>
      <c r="I50" s="20"/>
      <c r="J50" s="20"/>
    </row>
    <row r="51" spans="1:10" ht="48" customHeight="1" x14ac:dyDescent="0.3">
      <c r="A51" s="30" t="s">
        <v>52</v>
      </c>
      <c r="B51" s="9" t="s">
        <v>53</v>
      </c>
      <c r="C51" s="26" t="s">
        <v>54</v>
      </c>
      <c r="D51" s="27">
        <f>F13/J13</f>
        <v>61.904761904761905</v>
      </c>
      <c r="E51" s="9" t="s">
        <v>55</v>
      </c>
      <c r="F51" s="76" t="s">
        <v>75</v>
      </c>
      <c r="G51" s="76"/>
      <c r="H51" s="76"/>
      <c r="I51" s="76"/>
      <c r="J51" s="76"/>
    </row>
    <row r="52" spans="1:10" ht="48" customHeight="1" x14ac:dyDescent="0.3">
      <c r="A52" s="30" t="s">
        <v>52</v>
      </c>
      <c r="B52" s="9" t="s">
        <v>56</v>
      </c>
      <c r="C52" s="26" t="s">
        <v>57</v>
      </c>
      <c r="D52" s="29">
        <f>A30</f>
        <v>45662</v>
      </c>
      <c r="E52" s="9" t="s">
        <v>58</v>
      </c>
      <c r="F52" s="76" t="s">
        <v>76</v>
      </c>
      <c r="G52" s="76"/>
      <c r="H52" s="76"/>
      <c r="I52" s="76"/>
      <c r="J52" s="76"/>
    </row>
    <row r="53" spans="1:10" ht="48" customHeight="1" x14ac:dyDescent="0.3">
      <c r="A53" s="31" t="s">
        <v>59</v>
      </c>
      <c r="B53" s="9" t="s">
        <v>60</v>
      </c>
      <c r="C53" s="26" t="s">
        <v>61</v>
      </c>
      <c r="D53" s="22">
        <f>(F4-H4)/H4</f>
        <v>0.16666666666666666</v>
      </c>
      <c r="E53" s="9" t="s">
        <v>62</v>
      </c>
      <c r="F53" s="76" t="s">
        <v>77</v>
      </c>
      <c r="G53" s="76"/>
      <c r="H53" s="76"/>
      <c r="I53" s="76"/>
      <c r="J53" s="76"/>
    </row>
    <row r="54" spans="1:10" ht="48" customHeight="1" x14ac:dyDescent="0.3">
      <c r="A54" s="31" t="s">
        <v>59</v>
      </c>
      <c r="B54" s="9" t="s">
        <v>63</v>
      </c>
      <c r="C54" s="26" t="s">
        <v>64</v>
      </c>
      <c r="D54" s="22">
        <f>(F25-I25)/I25</f>
        <v>0.22580645161290322</v>
      </c>
      <c r="E54" s="9" t="s">
        <v>65</v>
      </c>
      <c r="F54" s="76" t="s">
        <v>78</v>
      </c>
      <c r="G54" s="76"/>
      <c r="H54" s="76"/>
      <c r="I54" s="76"/>
      <c r="J54" s="76"/>
    </row>
    <row r="55" spans="1:10" ht="48" customHeight="1" x14ac:dyDescent="0.3">
      <c r="A55" s="32" t="s">
        <v>66</v>
      </c>
      <c r="B55" s="9" t="s">
        <v>67</v>
      </c>
      <c r="C55" s="26" t="s">
        <v>68</v>
      </c>
      <c r="D55" s="9" t="s">
        <v>69</v>
      </c>
      <c r="E55" s="9" t="s">
        <v>70</v>
      </c>
      <c r="F55" s="76" t="s">
        <v>79</v>
      </c>
      <c r="G55" s="76"/>
      <c r="H55" s="76"/>
      <c r="I55" s="76"/>
      <c r="J55" s="76"/>
    </row>
    <row r="56" spans="1:10" ht="48" customHeight="1" x14ac:dyDescent="0.3">
      <c r="A56" s="32" t="s">
        <v>66</v>
      </c>
      <c r="B56" s="9" t="s">
        <v>71</v>
      </c>
      <c r="C56" s="26" t="s">
        <v>72</v>
      </c>
      <c r="D56" s="9" t="s">
        <v>73</v>
      </c>
      <c r="E56" s="9" t="s">
        <v>74</v>
      </c>
      <c r="F56" s="76" t="s">
        <v>80</v>
      </c>
      <c r="G56" s="76"/>
      <c r="H56" s="76"/>
      <c r="I56" s="76"/>
      <c r="J56" s="76"/>
    </row>
  </sheetData>
  <mergeCells count="10">
    <mergeCell ref="F53:J53"/>
    <mergeCell ref="F54:J54"/>
    <mergeCell ref="F55:J55"/>
    <mergeCell ref="F56:J56"/>
    <mergeCell ref="A44:J44"/>
    <mergeCell ref="A45:J45"/>
    <mergeCell ref="A47:J47"/>
    <mergeCell ref="A48:J48"/>
    <mergeCell ref="F51:J51"/>
    <mergeCell ref="F52:J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A1C1-B69D-4427-8565-F7FED0DB08EA}">
  <dimension ref="A1:J57"/>
  <sheetViews>
    <sheetView showGridLines="0" topLeftCell="A42" workbookViewId="0">
      <selection activeCell="C25" sqref="C25"/>
    </sheetView>
  </sheetViews>
  <sheetFormatPr defaultRowHeight="14.4" x14ac:dyDescent="0.3"/>
  <cols>
    <col min="1" max="1" width="10.21875" customWidth="1"/>
    <col min="2" max="2" width="16.6640625" customWidth="1"/>
    <col min="3" max="3" width="13.88671875" customWidth="1"/>
    <col min="4" max="4" width="12" customWidth="1"/>
    <col min="5" max="5" width="13.88671875" customWidth="1"/>
    <col min="6" max="6" width="12" customWidth="1"/>
    <col min="7" max="7" width="13.88671875" customWidth="1"/>
    <col min="8" max="8" width="14.77734375" customWidth="1"/>
    <col min="9" max="9" width="12" customWidth="1"/>
    <col min="10" max="10" width="16.6640625" customWidth="1"/>
  </cols>
  <sheetData>
    <row r="1" spans="1:10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</row>
    <row r="2" spans="1:10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</row>
    <row r="3" spans="1:10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</row>
    <row r="4" spans="1:10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0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</row>
    <row r="6" spans="1:10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</row>
    <row r="7" spans="1:10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</row>
    <row r="8" spans="1:10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</row>
    <row r="9" spans="1:10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</row>
    <row r="10" spans="1:10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</row>
    <row r="11" spans="1:10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0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0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0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0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0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  <row r="44" spans="1:10" ht="30" customHeight="1" x14ac:dyDescent="0.45">
      <c r="A44" s="67" t="s">
        <v>81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x14ac:dyDescent="0.3">
      <c r="A45" s="68" t="s">
        <v>82</v>
      </c>
      <c r="B45" s="77"/>
      <c r="C45" s="77"/>
      <c r="D45" s="77"/>
      <c r="E45" s="77"/>
      <c r="F45" s="77"/>
      <c r="G45" s="77"/>
      <c r="H45" s="77"/>
      <c r="I45" s="77"/>
      <c r="J45" s="77"/>
    </row>
    <row r="47" spans="1:10" x14ac:dyDescent="0.3">
      <c r="A47" s="20" t="s">
        <v>83</v>
      </c>
      <c r="B47" s="20" t="s">
        <v>2</v>
      </c>
      <c r="C47" s="20" t="s">
        <v>3</v>
      </c>
      <c r="D47" s="20" t="s">
        <v>37</v>
      </c>
      <c r="E47" s="20" t="s">
        <v>4</v>
      </c>
      <c r="F47" s="20" t="s">
        <v>84</v>
      </c>
      <c r="G47" s="20" t="s">
        <v>38</v>
      </c>
      <c r="H47" s="20" t="s">
        <v>85</v>
      </c>
      <c r="I47" s="20" t="s">
        <v>20</v>
      </c>
      <c r="J47" s="20" t="s">
        <v>40</v>
      </c>
    </row>
    <row r="48" spans="1:10" x14ac:dyDescent="0.3">
      <c r="A48" s="35">
        <v>1</v>
      </c>
      <c r="B48" s="9" t="s">
        <v>12</v>
      </c>
      <c r="C48" s="23">
        <f>SUMIF($E$2:$E$41,B48,$F$2:$F$41)</f>
        <v>105700</v>
      </c>
      <c r="D48" s="24">
        <f>C48/SUM($F$2:$F$41)</f>
        <v>0.34633027522935778</v>
      </c>
      <c r="E48" s="23">
        <f>SUMIF($E$2:$E$41,B48,$G$2:$G$41)</f>
        <v>22380</v>
      </c>
      <c r="F48" s="24">
        <f>E48/C48</f>
        <v>0.21173131504257331</v>
      </c>
      <c r="G48" s="24">
        <f>C48/SUMIF($E$2:$E$41,B48,$H$2:$H$41)-1</f>
        <v>4.3435340572556713E-2</v>
      </c>
      <c r="H48" s="24">
        <f>C48/SUMIF($E$2:$E$41,B48,$I$2:$I$41)-1</f>
        <v>0.15141612200435728</v>
      </c>
      <c r="I48" s="23">
        <f>SUMIF($E$2:$E$41,B48,$J$2:$J$41)</f>
        <v>396</v>
      </c>
      <c r="J48" s="25">
        <f>C48/I48</f>
        <v>266.91919191919192</v>
      </c>
    </row>
    <row r="49" spans="1:10" x14ac:dyDescent="0.3">
      <c r="A49" s="35">
        <v>2</v>
      </c>
      <c r="B49" s="9" t="s">
        <v>10</v>
      </c>
      <c r="C49" s="23">
        <f t="shared" ref="C49:C51" si="0">SUMIF($E$2:$E$41,B49,$F$2:$F$41)</f>
        <v>104300</v>
      </c>
      <c r="D49" s="24">
        <f t="shared" ref="D49:D51" si="1">C49/SUM($F$2:$F$41)</f>
        <v>0.34174311926605505</v>
      </c>
      <c r="E49" s="23">
        <f t="shared" ref="E49:E51" si="2">SUMIF($E$2:$E$41,B49,$G$2:$G$41)</f>
        <v>20860</v>
      </c>
      <c r="F49" s="24">
        <f t="shared" ref="F49:F51" si="3">E49/C49</f>
        <v>0.2</v>
      </c>
      <c r="G49" s="24">
        <f t="shared" ref="G49:G51" si="4">C49/SUMIF($E$2:$E$41,B49,$H$2:$H$41)-1</f>
        <v>1.2621359223300876E-2</v>
      </c>
      <c r="H49" s="24">
        <f t="shared" ref="H49:H51" si="5">C49/SUMIF($E$2:$E$41,B49,$I$2:$I$41)-1</f>
        <v>0.13369565217391299</v>
      </c>
      <c r="I49" s="23">
        <f t="shared" ref="I49:I51" si="6">SUMIF($E$2:$E$41,B49,$J$2:$J$41)</f>
        <v>230</v>
      </c>
      <c r="J49" s="25">
        <f t="shared" ref="J49:J51" si="7">C49/I49</f>
        <v>453.47826086956519</v>
      </c>
    </row>
    <row r="50" spans="1:10" x14ac:dyDescent="0.3">
      <c r="A50" s="35">
        <v>3</v>
      </c>
      <c r="B50" s="9" t="s">
        <v>8</v>
      </c>
      <c r="C50" s="23">
        <f t="shared" si="0"/>
        <v>64100</v>
      </c>
      <c r="D50" s="24">
        <f t="shared" si="1"/>
        <v>0.2100262123197903</v>
      </c>
      <c r="E50" s="23">
        <f t="shared" si="2"/>
        <v>13690</v>
      </c>
      <c r="F50" s="24">
        <f t="shared" si="3"/>
        <v>0.21357254290171607</v>
      </c>
      <c r="G50" s="24">
        <f t="shared" si="4"/>
        <v>-6.2015503875969546E-3</v>
      </c>
      <c r="H50" s="24">
        <f t="shared" si="5"/>
        <v>0.13051146384479728</v>
      </c>
      <c r="I50" s="23">
        <f t="shared" si="6"/>
        <v>254</v>
      </c>
      <c r="J50" s="25">
        <f t="shared" si="7"/>
        <v>252.36220472440945</v>
      </c>
    </row>
    <row r="51" spans="1:10" x14ac:dyDescent="0.3">
      <c r="A51" s="35">
        <v>4</v>
      </c>
      <c r="B51" s="9" t="s">
        <v>14</v>
      </c>
      <c r="C51" s="23">
        <f t="shared" si="0"/>
        <v>31100</v>
      </c>
      <c r="D51" s="24">
        <f t="shared" si="1"/>
        <v>0.10190039318479685</v>
      </c>
      <c r="E51" s="23">
        <f t="shared" si="2"/>
        <v>7775</v>
      </c>
      <c r="F51" s="24">
        <f t="shared" si="3"/>
        <v>0.25</v>
      </c>
      <c r="G51" s="24">
        <f t="shared" si="4"/>
        <v>2.9801324503311299E-2</v>
      </c>
      <c r="H51" s="24">
        <f t="shared" si="5"/>
        <v>0.13503649635036497</v>
      </c>
      <c r="I51" s="23">
        <f t="shared" si="6"/>
        <v>452</v>
      </c>
      <c r="J51" s="25">
        <f t="shared" si="7"/>
        <v>68.805309734513273</v>
      </c>
    </row>
    <row r="53" spans="1:10" x14ac:dyDescent="0.3">
      <c r="A53" s="75" t="s">
        <v>41</v>
      </c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30" customHeight="1" x14ac:dyDescent="0.3">
      <c r="A54" s="73" t="str">
        <f>"1. East leads sales at "&amp;TEXT(C48,"#,##0")&amp;" ("&amp;TEXT(D48,"0.0%")&amp;" share), only "&amp;TEXT(C48-C49,"#,##0")&amp;" ahead of South, and posts the highest profit at "&amp;TEXT(E48,"#,##0")&amp;"."</f>
        <v>1. East leads sales at 105,700 (34.6% share), only 1,400 ahead of South, and posts the highest profit at 22,380.</v>
      </c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30" customHeight="1" x14ac:dyDescent="0.3">
      <c r="A55" s="73" t="str">
        <f>"2. South is the most efficient region at "&amp;TEXT(J49,"#,##0.0")&amp;" sales per order—"&amp;TEXT(J49/J48-1,"0.0%")&amp;" above East—despite having fewer orders."</f>
        <v>2. South is the most efficient region at 453.5 sales per order—69.9% above East—despite having fewer orders.</v>
      </c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30" customHeight="1" x14ac:dyDescent="0.3">
      <c r="A56" s="73" t="str">
        <f>"3. West has the most orders ("&amp;TEXT(I51,"#,##0")&amp;") but the lowest sales ("&amp;TEXT(C51,"#,##0")&amp;") and only "&amp;TEXT(J51,"#,##0.0")&amp;" sales per order, indicating a low-ticket mix."</f>
        <v>3. West has the most orders (452) but the lowest sales (31,100) and only 68.8 sales per order, indicating a low-ticket mix.</v>
      </c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30" customHeight="1" x14ac:dyDescent="0.3">
      <c r="A57" s="73" t="str">
        <f>"4. North is the only region below target ("&amp;TEXT(G50,"0.0%")&amp;"); East has the strongest target performance at "&amp;TEXT(G48,"0.0%")&amp;", while all regions remain above prior-year sales."</f>
        <v>4. North is the only region below target (-0.6%); East has the strongest target performance at 4.3%, while all regions remain above prior-year sales.</v>
      </c>
      <c r="B57" s="73"/>
      <c r="C57" s="73"/>
      <c r="D57" s="73"/>
      <c r="E57" s="73"/>
      <c r="F57" s="73"/>
      <c r="G57" s="73"/>
      <c r="H57" s="73"/>
      <c r="I57" s="73"/>
      <c r="J57" s="73"/>
    </row>
  </sheetData>
  <mergeCells count="7">
    <mergeCell ref="A57:J57"/>
    <mergeCell ref="A44:J44"/>
    <mergeCell ref="A45:J45"/>
    <mergeCell ref="A53:J53"/>
    <mergeCell ref="A54:J54"/>
    <mergeCell ref="A55:J55"/>
    <mergeCell ref="A56:J56"/>
  </mergeCells>
  <conditionalFormatting sqref="G48:G51">
    <cfRule type="cellIs" dxfId="8" priority="1" operator="lessThan">
      <formula>0</formula>
    </cfRule>
    <cfRule type="cellIs" dxfId="7" priority="2" operator="greaterThanOr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126C-6997-4CC9-B28E-8B2B1379AA7C}">
  <dimension ref="A1:M41"/>
  <sheetViews>
    <sheetView showGridLines="0" workbookViewId="0">
      <selection activeCell="C25" sqref="C25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3.44140625" bestFit="1" customWidth="1"/>
    <col min="13" max="13" width="12.44140625" bestFit="1" customWidth="1"/>
  </cols>
  <sheetData>
    <row r="1" spans="1:13" s="17" customFormat="1" ht="43.2" x14ac:dyDescent="0.3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78" t="s">
        <v>86</v>
      </c>
      <c r="M1" s="79"/>
    </row>
    <row r="2" spans="1:13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s="36" t="s">
        <v>18</v>
      </c>
      <c r="M2" s="37" t="s">
        <v>87</v>
      </c>
    </row>
    <row r="3" spans="1:13" x14ac:dyDescent="0.3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s="13" t="str" cm="1">
        <f t="array" ref="L3:L7">_xlfn.LET(_xlpm.c,_xlfn.UNIQUE($B$2:$B$41),_xlfn.TAKE(_xlfn.SORTBY(_xlpm.c,SUMIF($B$2:$B$41,_xlpm.c,$F$2:$F$41),-1),MIN(10,ROWS(_xlpm.c))))</f>
        <v>Global Stores</v>
      </c>
      <c r="M3" s="15" cm="1">
        <f t="array" ref="M3:M7">SUMIF($B$2:$B$41,_xlfn.ANCHORARRAY(L3),$F$2:$F$41)</f>
        <v>99000</v>
      </c>
    </row>
    <row r="4" spans="1:13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  <c r="L4" s="13" t="str">
        <v>City Electronics</v>
      </c>
      <c r="M4" s="15">
        <v>71800</v>
      </c>
    </row>
    <row r="5" spans="1:13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s="13" t="str">
        <v>ABC Retail</v>
      </c>
      <c r="M5" s="15">
        <v>69400</v>
      </c>
    </row>
    <row r="6" spans="1:13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L6" s="13" t="str">
        <v>Prime Mart</v>
      </c>
      <c r="M6" s="15">
        <v>33900</v>
      </c>
    </row>
    <row r="7" spans="1:13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L7" s="13" t="str">
        <v>Tech World</v>
      </c>
      <c r="M7" s="15">
        <v>31100</v>
      </c>
    </row>
    <row r="8" spans="1:13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L8" s="13"/>
      <c r="M8" s="15"/>
    </row>
    <row r="9" spans="1:13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L9" s="13"/>
      <c r="M9" s="15"/>
    </row>
    <row r="10" spans="1:13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  <c r="L10" s="13"/>
      <c r="M10" s="15"/>
    </row>
    <row r="11" spans="1:13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  <c r="L11" s="13"/>
      <c r="M11" s="15"/>
    </row>
    <row r="12" spans="1:13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  <c r="L12" s="14"/>
      <c r="M12" s="16"/>
    </row>
    <row r="13" spans="1:13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3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3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3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mergeCells count="1"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FFBF-3913-4FF5-B40B-15567E5E76BF}">
  <dimension ref="A1:Q41"/>
  <sheetViews>
    <sheetView showGridLines="0" topLeftCell="H1" workbookViewId="0">
      <selection activeCell="T8" sqref="T8"/>
    </sheetView>
  </sheetViews>
  <sheetFormatPr defaultRowHeight="14.4" x14ac:dyDescent="0.3"/>
  <cols>
    <col min="1" max="1" width="9.5546875" bestFit="1" customWidth="1"/>
    <col min="2" max="2" width="13.44140625" bestFit="1" customWidth="1"/>
    <col min="4" max="4" width="10.88671875" bestFit="1" customWidth="1"/>
    <col min="12" max="12" width="16.6640625" customWidth="1"/>
    <col min="13" max="16" width="15.21875" customWidth="1"/>
    <col min="17" max="17" width="17.5546875" customWidth="1"/>
  </cols>
  <sheetData>
    <row r="1" spans="1:17" s="17" customFormat="1" ht="28.05" customHeight="1" x14ac:dyDescent="0.4">
      <c r="A1" s="4" t="s">
        <v>0</v>
      </c>
      <c r="B1" s="4" t="s">
        <v>18</v>
      </c>
      <c r="C1" s="4" t="s">
        <v>1</v>
      </c>
      <c r="D1" s="4" t="s">
        <v>19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20</v>
      </c>
      <c r="L1" s="80" t="s">
        <v>88</v>
      </c>
      <c r="M1" s="80"/>
      <c r="N1" s="80"/>
      <c r="O1" s="80"/>
      <c r="P1" s="80"/>
      <c r="Q1" s="80"/>
    </row>
    <row r="2" spans="1:17" x14ac:dyDescent="0.3">
      <c r="A2" s="10">
        <v>46023</v>
      </c>
      <c r="B2" s="11" t="s">
        <v>21</v>
      </c>
      <c r="C2" s="11" t="s">
        <v>7</v>
      </c>
      <c r="D2" s="11" t="s">
        <v>22</v>
      </c>
      <c r="E2" s="11" t="s">
        <v>8</v>
      </c>
      <c r="F2" s="12">
        <v>12500</v>
      </c>
      <c r="G2" s="12">
        <v>2500</v>
      </c>
      <c r="H2" s="12">
        <v>12000</v>
      </c>
      <c r="I2" s="12">
        <v>10500</v>
      </c>
      <c r="J2" s="12">
        <v>25</v>
      </c>
      <c r="L2" s="81" t="s">
        <v>89</v>
      </c>
      <c r="M2" s="81"/>
      <c r="N2" s="81" t="s">
        <v>90</v>
      </c>
      <c r="O2" s="81"/>
      <c r="P2" s="81" t="s">
        <v>91</v>
      </c>
      <c r="Q2" s="81"/>
    </row>
    <row r="3" spans="1:17" ht="18" x14ac:dyDescent="0.35">
      <c r="A3" s="10">
        <v>46037</v>
      </c>
      <c r="B3" s="11" t="s">
        <v>23</v>
      </c>
      <c r="C3" s="11" t="s">
        <v>9</v>
      </c>
      <c r="D3" s="11" t="s">
        <v>22</v>
      </c>
      <c r="E3" s="11" t="s">
        <v>10</v>
      </c>
      <c r="F3" s="12">
        <v>8200</v>
      </c>
      <c r="G3" s="12">
        <v>1640</v>
      </c>
      <c r="H3" s="12">
        <v>9000</v>
      </c>
      <c r="I3" s="12">
        <v>7600</v>
      </c>
      <c r="J3" s="12">
        <v>18</v>
      </c>
      <c r="L3" s="82">
        <f>SUM($F$2:$F$41)</f>
        <v>305200</v>
      </c>
      <c r="M3" s="82"/>
      <c r="N3" s="82">
        <f>SUM($H$2:$H$41)</f>
        <v>299000</v>
      </c>
      <c r="O3" s="82"/>
      <c r="P3" s="82">
        <f>SUM($F$2:$F$41)-SUM($H$2:$H$41)</f>
        <v>6200</v>
      </c>
      <c r="Q3" s="82"/>
    </row>
    <row r="4" spans="1:17" x14ac:dyDescent="0.3">
      <c r="A4" s="10">
        <v>46050</v>
      </c>
      <c r="B4" s="11" t="s">
        <v>24</v>
      </c>
      <c r="C4" s="11" t="s">
        <v>11</v>
      </c>
      <c r="D4" s="11" t="s">
        <v>25</v>
      </c>
      <c r="E4" s="11" t="s">
        <v>12</v>
      </c>
      <c r="F4" s="12">
        <v>3500</v>
      </c>
      <c r="G4" s="12">
        <v>875</v>
      </c>
      <c r="H4" s="12">
        <v>3000</v>
      </c>
      <c r="I4" s="12">
        <v>3200</v>
      </c>
      <c r="J4" s="12">
        <v>32</v>
      </c>
    </row>
    <row r="5" spans="1:17" x14ac:dyDescent="0.3">
      <c r="A5" s="10">
        <v>46058</v>
      </c>
      <c r="B5" s="11" t="s">
        <v>26</v>
      </c>
      <c r="C5" s="11" t="s">
        <v>13</v>
      </c>
      <c r="D5" s="11" t="s">
        <v>25</v>
      </c>
      <c r="E5" s="11" t="s">
        <v>14</v>
      </c>
      <c r="F5" s="12">
        <v>2800</v>
      </c>
      <c r="G5" s="12">
        <v>700</v>
      </c>
      <c r="H5" s="12">
        <v>2500</v>
      </c>
      <c r="I5" s="12">
        <v>2400</v>
      </c>
      <c r="J5" s="12">
        <v>40</v>
      </c>
      <c r="L5" s="20" t="s">
        <v>1</v>
      </c>
      <c r="M5" s="20" t="s">
        <v>92</v>
      </c>
      <c r="N5" s="20" t="s">
        <v>5</v>
      </c>
      <c r="O5" s="20" t="s">
        <v>93</v>
      </c>
      <c r="P5" s="20" t="s">
        <v>94</v>
      </c>
      <c r="Q5" s="20" t="s">
        <v>95</v>
      </c>
    </row>
    <row r="6" spans="1:17" x14ac:dyDescent="0.3">
      <c r="A6" s="10">
        <v>46071</v>
      </c>
      <c r="B6" s="11" t="s">
        <v>21</v>
      </c>
      <c r="C6" s="11" t="s">
        <v>7</v>
      </c>
      <c r="D6" s="11" t="s">
        <v>22</v>
      </c>
      <c r="E6" s="11" t="s">
        <v>10</v>
      </c>
      <c r="F6" s="12">
        <v>14800</v>
      </c>
      <c r="G6" s="12">
        <v>2960</v>
      </c>
      <c r="H6" s="12">
        <v>14000</v>
      </c>
      <c r="I6" s="12">
        <v>12500</v>
      </c>
      <c r="J6" s="12">
        <v>29</v>
      </c>
      <c r="L6" s="9" t="s">
        <v>7</v>
      </c>
      <c r="M6" s="38">
        <f>SUMIF($C$2:$C$41,L6,$F$2:$F$41)</f>
        <v>139300</v>
      </c>
      <c r="N6" s="38">
        <f>SUMIF($C$2:$C$41,L6,$H$2:$H$41)</f>
        <v>135000</v>
      </c>
      <c r="O6" s="38">
        <f>M6-N6</f>
        <v>4300</v>
      </c>
      <c r="P6" s="39">
        <f>O6/N6</f>
        <v>3.1851851851851853E-2</v>
      </c>
      <c r="Q6" s="9" t="str">
        <f>IF(O6&gt;=0,"Above Target","Below Target")</f>
        <v>Above Target</v>
      </c>
    </row>
    <row r="7" spans="1:17" x14ac:dyDescent="0.3">
      <c r="A7" s="10">
        <v>46084</v>
      </c>
      <c r="B7" s="11" t="s">
        <v>23</v>
      </c>
      <c r="C7" s="11" t="s">
        <v>9</v>
      </c>
      <c r="D7" s="11" t="s">
        <v>22</v>
      </c>
      <c r="E7" s="11" t="s">
        <v>8</v>
      </c>
      <c r="F7" s="12">
        <v>9500</v>
      </c>
      <c r="G7" s="12">
        <v>1900</v>
      </c>
      <c r="H7" s="12">
        <v>10000</v>
      </c>
      <c r="I7" s="12">
        <v>8800</v>
      </c>
      <c r="J7" s="12">
        <v>21</v>
      </c>
      <c r="L7" s="9" t="s">
        <v>9</v>
      </c>
      <c r="M7" s="38">
        <f t="shared" ref="M7:M9" si="0">SUMIF($C$2:$C$41,L7,$F$2:$F$41)</f>
        <v>92600</v>
      </c>
      <c r="N7" s="38">
        <f t="shared" ref="N7:N9" si="1">SUMIF($C$2:$C$41,L7,$H$2:$H$41)</f>
        <v>93000</v>
      </c>
      <c r="O7" s="38">
        <f t="shared" ref="O7:O9" si="2">M7-N7</f>
        <v>-400</v>
      </c>
      <c r="P7" s="39">
        <f t="shared" ref="P7:P9" si="3">O7/N7</f>
        <v>-4.3010752688172043E-3</v>
      </c>
      <c r="Q7" s="9" t="str">
        <f t="shared" ref="Q7:Q9" si="4">IF(O7&gt;=0,"Above Target","Below Target")</f>
        <v>Below Target</v>
      </c>
    </row>
    <row r="8" spans="1:17" x14ac:dyDescent="0.3">
      <c r="A8" s="10">
        <v>46098</v>
      </c>
      <c r="B8" s="11" t="s">
        <v>24</v>
      </c>
      <c r="C8" s="11" t="s">
        <v>11</v>
      </c>
      <c r="D8" s="11" t="s">
        <v>25</v>
      </c>
      <c r="E8" s="11" t="s">
        <v>12</v>
      </c>
      <c r="F8" s="12">
        <v>4200</v>
      </c>
      <c r="G8" s="12">
        <v>1050</v>
      </c>
      <c r="H8" s="12">
        <v>4000</v>
      </c>
      <c r="I8" s="12">
        <v>3600</v>
      </c>
      <c r="J8" s="12">
        <v>38</v>
      </c>
      <c r="L8" s="9" t="s">
        <v>11</v>
      </c>
      <c r="M8" s="38">
        <f t="shared" si="0"/>
        <v>42200</v>
      </c>
      <c r="N8" s="38">
        <f t="shared" si="1"/>
        <v>40800</v>
      </c>
      <c r="O8" s="38">
        <f t="shared" si="2"/>
        <v>1400</v>
      </c>
      <c r="P8" s="39">
        <f t="shared" si="3"/>
        <v>3.4313725490196081E-2</v>
      </c>
      <c r="Q8" s="9" t="str">
        <f t="shared" si="4"/>
        <v>Above Target</v>
      </c>
    </row>
    <row r="9" spans="1:17" x14ac:dyDescent="0.3">
      <c r="A9" s="10">
        <v>46114</v>
      </c>
      <c r="B9" s="11" t="s">
        <v>26</v>
      </c>
      <c r="C9" s="11" t="s">
        <v>13</v>
      </c>
      <c r="D9" s="11" t="s">
        <v>25</v>
      </c>
      <c r="E9" s="11" t="s">
        <v>14</v>
      </c>
      <c r="F9" s="12">
        <v>3100</v>
      </c>
      <c r="G9" s="12">
        <v>775</v>
      </c>
      <c r="H9" s="12">
        <v>3000</v>
      </c>
      <c r="I9" s="12">
        <v>2700</v>
      </c>
      <c r="J9" s="12">
        <v>45</v>
      </c>
      <c r="L9" s="9" t="s">
        <v>13</v>
      </c>
      <c r="M9" s="38">
        <f t="shared" si="0"/>
        <v>31100</v>
      </c>
      <c r="N9" s="38">
        <f t="shared" si="1"/>
        <v>30200</v>
      </c>
      <c r="O9" s="38">
        <f t="shared" si="2"/>
        <v>900</v>
      </c>
      <c r="P9" s="39">
        <f t="shared" si="3"/>
        <v>2.9801324503311258E-2</v>
      </c>
      <c r="Q9" s="9" t="str">
        <f t="shared" si="4"/>
        <v>Above Target</v>
      </c>
    </row>
    <row r="10" spans="1:17" x14ac:dyDescent="0.3">
      <c r="A10" s="10">
        <v>46126</v>
      </c>
      <c r="B10" s="11" t="s">
        <v>27</v>
      </c>
      <c r="C10" s="11" t="s">
        <v>7</v>
      </c>
      <c r="D10" s="11" t="s">
        <v>22</v>
      </c>
      <c r="E10" s="11" t="s">
        <v>12</v>
      </c>
      <c r="F10" s="12">
        <v>13200</v>
      </c>
      <c r="G10" s="12">
        <v>2640</v>
      </c>
      <c r="H10" s="12">
        <v>13000</v>
      </c>
      <c r="I10" s="12">
        <v>11800</v>
      </c>
      <c r="J10" s="12">
        <v>27</v>
      </c>
      <c r="L10" s="40" t="str" cm="1">
        <f t="array" ref="L10">"Overall, actual sales are "&amp;TEXT(SUM($F$2:$F$41)-SUM($H$2:$H$41),"#,##0")&amp;" ("&amp;TEXT(SUM($F$2:$F$41)/SUM($H$2:$H$41)-1,"0.1%")&amp;") above target; "&amp;SUMPRODUCT(--($F$2:$F$41&gt;$H$2:$H$41))&amp;" of 40 records exceeded target."</f>
        <v>Overall, actual sales are 6,200 (2.1%) above target; 23 of 40 records exceeded target.</v>
      </c>
      <c r="M10" s="40"/>
      <c r="N10" s="40"/>
      <c r="O10" s="40"/>
      <c r="P10" s="40"/>
      <c r="Q10" s="40"/>
    </row>
    <row r="11" spans="1:17" x14ac:dyDescent="0.3">
      <c r="A11" s="10">
        <v>46141</v>
      </c>
      <c r="B11" s="11" t="s">
        <v>23</v>
      </c>
      <c r="C11" s="11" t="s">
        <v>9</v>
      </c>
      <c r="D11" s="11" t="s">
        <v>22</v>
      </c>
      <c r="E11" s="11" t="s">
        <v>10</v>
      </c>
      <c r="F11" s="12">
        <v>8700</v>
      </c>
      <c r="G11" s="12">
        <v>1740</v>
      </c>
      <c r="H11" s="12">
        <v>8500</v>
      </c>
      <c r="I11" s="12">
        <v>8100</v>
      </c>
      <c r="J11" s="12">
        <v>20</v>
      </c>
    </row>
    <row r="12" spans="1:17" x14ac:dyDescent="0.3">
      <c r="A12" s="10">
        <v>46150</v>
      </c>
      <c r="B12" s="11" t="s">
        <v>21</v>
      </c>
      <c r="C12" s="11" t="s">
        <v>11</v>
      </c>
      <c r="D12" s="11" t="s">
        <v>25</v>
      </c>
      <c r="E12" s="11" t="s">
        <v>8</v>
      </c>
      <c r="F12" s="12">
        <v>3900</v>
      </c>
      <c r="G12" s="12">
        <v>975</v>
      </c>
      <c r="H12" s="12">
        <v>4000</v>
      </c>
      <c r="I12" s="12">
        <v>3500</v>
      </c>
      <c r="J12" s="12">
        <v>35</v>
      </c>
    </row>
    <row r="13" spans="1:17" x14ac:dyDescent="0.3">
      <c r="A13" s="10">
        <v>46163</v>
      </c>
      <c r="B13" s="11" t="s">
        <v>26</v>
      </c>
      <c r="C13" s="11" t="s">
        <v>13</v>
      </c>
      <c r="D13" s="11" t="s">
        <v>25</v>
      </c>
      <c r="E13" s="11" t="s">
        <v>14</v>
      </c>
      <c r="F13" s="12">
        <v>2600</v>
      </c>
      <c r="G13" s="12">
        <v>650</v>
      </c>
      <c r="H13" s="12">
        <v>2800</v>
      </c>
      <c r="I13" s="12">
        <v>2500</v>
      </c>
      <c r="J13" s="12">
        <v>42</v>
      </c>
    </row>
    <row r="14" spans="1:17" x14ac:dyDescent="0.3">
      <c r="A14" s="10">
        <v>46179</v>
      </c>
      <c r="B14" s="11" t="s">
        <v>23</v>
      </c>
      <c r="C14" s="11" t="s">
        <v>7</v>
      </c>
      <c r="D14" s="11" t="s">
        <v>22</v>
      </c>
      <c r="E14" s="11" t="s">
        <v>10</v>
      </c>
      <c r="F14" s="12">
        <v>15500</v>
      </c>
      <c r="G14" s="12">
        <v>3100</v>
      </c>
      <c r="H14" s="12">
        <v>15000</v>
      </c>
      <c r="I14" s="12">
        <v>13200</v>
      </c>
      <c r="J14" s="12">
        <v>31</v>
      </c>
    </row>
    <row r="15" spans="1:17" x14ac:dyDescent="0.3">
      <c r="A15" s="10">
        <v>46192</v>
      </c>
      <c r="B15" s="11" t="s">
        <v>24</v>
      </c>
      <c r="C15" s="11" t="s">
        <v>9</v>
      </c>
      <c r="D15" s="11" t="s">
        <v>22</v>
      </c>
      <c r="E15" s="11" t="s">
        <v>12</v>
      </c>
      <c r="F15" s="12">
        <v>9100</v>
      </c>
      <c r="G15" s="12">
        <v>1820</v>
      </c>
      <c r="H15" s="12">
        <v>9000</v>
      </c>
      <c r="I15" s="12">
        <v>8400</v>
      </c>
      <c r="J15" s="12">
        <v>22</v>
      </c>
    </row>
    <row r="16" spans="1:17" x14ac:dyDescent="0.3">
      <c r="A16" s="10">
        <v>46207</v>
      </c>
      <c r="B16" s="11" t="s">
        <v>21</v>
      </c>
      <c r="C16" s="11" t="s">
        <v>11</v>
      </c>
      <c r="D16" s="11" t="s">
        <v>25</v>
      </c>
      <c r="E16" s="11" t="s">
        <v>8</v>
      </c>
      <c r="F16" s="12">
        <v>4500</v>
      </c>
      <c r="G16" s="12">
        <v>1125</v>
      </c>
      <c r="H16" s="12">
        <v>4200</v>
      </c>
      <c r="I16" s="12">
        <v>3900</v>
      </c>
      <c r="J16" s="12">
        <v>41</v>
      </c>
    </row>
    <row r="17" spans="1:10" x14ac:dyDescent="0.3">
      <c r="A17" s="10">
        <v>46219</v>
      </c>
      <c r="B17" s="11" t="s">
        <v>26</v>
      </c>
      <c r="C17" s="11" t="s">
        <v>13</v>
      </c>
      <c r="D17" s="11" t="s">
        <v>25</v>
      </c>
      <c r="E17" s="11" t="s">
        <v>14</v>
      </c>
      <c r="F17" s="12">
        <v>3200</v>
      </c>
      <c r="G17" s="12">
        <v>800</v>
      </c>
      <c r="H17" s="12">
        <v>3000</v>
      </c>
      <c r="I17" s="12">
        <v>2900</v>
      </c>
      <c r="J17" s="12">
        <v>48</v>
      </c>
    </row>
    <row r="18" spans="1:10" x14ac:dyDescent="0.3">
      <c r="A18" s="10">
        <v>46236</v>
      </c>
      <c r="B18" s="11" t="s">
        <v>27</v>
      </c>
      <c r="C18" s="11" t="s">
        <v>7</v>
      </c>
      <c r="D18" s="11" t="s">
        <v>22</v>
      </c>
      <c r="E18" s="11" t="s">
        <v>12</v>
      </c>
      <c r="F18" s="12">
        <v>16800</v>
      </c>
      <c r="G18" s="12">
        <v>3360</v>
      </c>
      <c r="H18" s="12">
        <v>15500</v>
      </c>
      <c r="I18" s="12">
        <v>14000</v>
      </c>
      <c r="J18" s="12">
        <v>34</v>
      </c>
    </row>
    <row r="19" spans="1:10" x14ac:dyDescent="0.3">
      <c r="A19" s="10">
        <v>46248</v>
      </c>
      <c r="B19" s="11" t="s">
        <v>23</v>
      </c>
      <c r="C19" s="11" t="s">
        <v>9</v>
      </c>
      <c r="D19" s="11" t="s">
        <v>22</v>
      </c>
      <c r="E19" s="11" t="s">
        <v>10</v>
      </c>
      <c r="F19" s="12">
        <v>10200</v>
      </c>
      <c r="G19" s="12">
        <v>2040</v>
      </c>
      <c r="H19" s="12">
        <v>9500</v>
      </c>
      <c r="I19" s="12">
        <v>8900</v>
      </c>
      <c r="J19" s="12">
        <v>24</v>
      </c>
    </row>
    <row r="20" spans="1:10" x14ac:dyDescent="0.3">
      <c r="A20" s="10">
        <v>46263</v>
      </c>
      <c r="B20" s="11" t="s">
        <v>24</v>
      </c>
      <c r="C20" s="11" t="s">
        <v>11</v>
      </c>
      <c r="D20" s="11" t="s">
        <v>25</v>
      </c>
      <c r="E20" s="11" t="s">
        <v>12</v>
      </c>
      <c r="F20" s="12">
        <v>4800</v>
      </c>
      <c r="G20" s="12">
        <v>1200</v>
      </c>
      <c r="H20" s="12">
        <v>4500</v>
      </c>
      <c r="I20" s="12">
        <v>4100</v>
      </c>
      <c r="J20" s="12">
        <v>43</v>
      </c>
    </row>
    <row r="21" spans="1:10" x14ac:dyDescent="0.3">
      <c r="A21" s="10">
        <v>46270</v>
      </c>
      <c r="B21" s="11" t="s">
        <v>26</v>
      </c>
      <c r="C21" s="11" t="s">
        <v>13</v>
      </c>
      <c r="D21" s="11" t="s">
        <v>25</v>
      </c>
      <c r="E21" s="11" t="s">
        <v>14</v>
      </c>
      <c r="F21" s="12">
        <v>3500</v>
      </c>
      <c r="G21" s="12">
        <v>875</v>
      </c>
      <c r="H21" s="12">
        <v>3200</v>
      </c>
      <c r="I21" s="12">
        <v>3000</v>
      </c>
      <c r="J21" s="12">
        <v>50</v>
      </c>
    </row>
    <row r="22" spans="1:10" x14ac:dyDescent="0.3">
      <c r="A22" s="10">
        <v>46283</v>
      </c>
      <c r="B22" s="11" t="s">
        <v>21</v>
      </c>
      <c r="C22" s="11" t="s">
        <v>7</v>
      </c>
      <c r="D22" s="11" t="s">
        <v>22</v>
      </c>
      <c r="E22" s="11" t="s">
        <v>8</v>
      </c>
      <c r="F22" s="12">
        <v>14200</v>
      </c>
      <c r="G22" s="12">
        <v>2840</v>
      </c>
      <c r="H22" s="12">
        <v>14500</v>
      </c>
      <c r="I22" s="12">
        <v>13000</v>
      </c>
      <c r="J22" s="12">
        <v>28</v>
      </c>
    </row>
    <row r="23" spans="1:10" x14ac:dyDescent="0.3">
      <c r="A23" s="10">
        <v>46298</v>
      </c>
      <c r="B23" s="11" t="s">
        <v>23</v>
      </c>
      <c r="C23" s="11" t="s">
        <v>9</v>
      </c>
      <c r="D23" s="11" t="s">
        <v>22</v>
      </c>
      <c r="E23" s="11" t="s">
        <v>10</v>
      </c>
      <c r="F23" s="12">
        <v>11200</v>
      </c>
      <c r="G23" s="12">
        <v>2240</v>
      </c>
      <c r="H23" s="12">
        <v>10500</v>
      </c>
      <c r="I23" s="12">
        <v>9200</v>
      </c>
      <c r="J23" s="12">
        <v>26</v>
      </c>
    </row>
    <row r="24" spans="1:10" x14ac:dyDescent="0.3">
      <c r="A24" s="10">
        <v>46312</v>
      </c>
      <c r="B24" s="11" t="s">
        <v>24</v>
      </c>
      <c r="C24" s="11" t="s">
        <v>11</v>
      </c>
      <c r="D24" s="11" t="s">
        <v>25</v>
      </c>
      <c r="E24" s="11" t="s">
        <v>12</v>
      </c>
      <c r="F24" s="12">
        <v>5200</v>
      </c>
      <c r="G24" s="12">
        <v>1300</v>
      </c>
      <c r="H24" s="12">
        <v>4800</v>
      </c>
      <c r="I24" s="12">
        <v>4300</v>
      </c>
      <c r="J24" s="12">
        <v>46</v>
      </c>
    </row>
    <row r="25" spans="1:10" x14ac:dyDescent="0.3">
      <c r="A25" s="10">
        <v>46328</v>
      </c>
      <c r="B25" s="11" t="s">
        <v>26</v>
      </c>
      <c r="C25" s="11" t="s">
        <v>13</v>
      </c>
      <c r="D25" s="11" t="s">
        <v>25</v>
      </c>
      <c r="E25" s="11" t="s">
        <v>14</v>
      </c>
      <c r="F25" s="12">
        <v>3800</v>
      </c>
      <c r="G25" s="12">
        <v>950</v>
      </c>
      <c r="H25" s="12">
        <v>3500</v>
      </c>
      <c r="I25" s="12">
        <v>3100</v>
      </c>
      <c r="J25" s="12">
        <v>53</v>
      </c>
    </row>
    <row r="26" spans="1:10" x14ac:dyDescent="0.3">
      <c r="A26" s="10">
        <v>46341</v>
      </c>
      <c r="B26" s="11" t="s">
        <v>27</v>
      </c>
      <c r="C26" s="11" t="s">
        <v>7</v>
      </c>
      <c r="D26" s="11" t="s">
        <v>22</v>
      </c>
      <c r="E26" s="11" t="s">
        <v>12</v>
      </c>
      <c r="F26" s="12">
        <v>17500</v>
      </c>
      <c r="G26" s="12">
        <v>3500</v>
      </c>
      <c r="H26" s="12">
        <v>16000</v>
      </c>
      <c r="I26" s="12">
        <v>14500</v>
      </c>
      <c r="J26" s="12">
        <v>36</v>
      </c>
    </row>
    <row r="27" spans="1:10" x14ac:dyDescent="0.3">
      <c r="A27" s="10">
        <v>46354</v>
      </c>
      <c r="B27" s="11" t="s">
        <v>23</v>
      </c>
      <c r="C27" s="11" t="s">
        <v>9</v>
      </c>
      <c r="D27" s="11" t="s">
        <v>22</v>
      </c>
      <c r="E27" s="11" t="s">
        <v>10</v>
      </c>
      <c r="F27" s="12">
        <v>10800</v>
      </c>
      <c r="G27" s="12">
        <v>2160</v>
      </c>
      <c r="H27" s="12">
        <v>11000</v>
      </c>
      <c r="I27" s="12">
        <v>9500</v>
      </c>
      <c r="J27" s="12">
        <v>25</v>
      </c>
    </row>
    <row r="28" spans="1:10" x14ac:dyDescent="0.3">
      <c r="A28" s="10">
        <v>46361</v>
      </c>
      <c r="B28" s="11" t="s">
        <v>21</v>
      </c>
      <c r="C28" s="11" t="s">
        <v>11</v>
      </c>
      <c r="D28" s="11" t="s">
        <v>25</v>
      </c>
      <c r="E28" s="11" t="s">
        <v>8</v>
      </c>
      <c r="F28" s="12">
        <v>5500</v>
      </c>
      <c r="G28" s="12">
        <v>1375</v>
      </c>
      <c r="H28" s="12">
        <v>5000</v>
      </c>
      <c r="I28" s="12">
        <v>4600</v>
      </c>
      <c r="J28" s="12">
        <v>49</v>
      </c>
    </row>
    <row r="29" spans="1:10" x14ac:dyDescent="0.3">
      <c r="A29" s="10">
        <v>46374</v>
      </c>
      <c r="B29" s="11" t="s">
        <v>26</v>
      </c>
      <c r="C29" s="11" t="s">
        <v>13</v>
      </c>
      <c r="D29" s="11" t="s">
        <v>25</v>
      </c>
      <c r="E29" s="11" t="s">
        <v>14</v>
      </c>
      <c r="F29" s="12">
        <v>4100</v>
      </c>
      <c r="G29" s="12">
        <v>1025</v>
      </c>
      <c r="H29" s="12">
        <v>3800</v>
      </c>
      <c r="I29" s="12">
        <v>3400</v>
      </c>
      <c r="J29" s="12">
        <v>56</v>
      </c>
    </row>
    <row r="30" spans="1:10" x14ac:dyDescent="0.3">
      <c r="A30" s="10">
        <v>45662</v>
      </c>
      <c r="B30" s="11" t="s">
        <v>21</v>
      </c>
      <c r="C30" s="11" t="s">
        <v>7</v>
      </c>
      <c r="D30" s="11" t="s">
        <v>22</v>
      </c>
      <c r="E30" s="11" t="s">
        <v>8</v>
      </c>
      <c r="F30" s="12">
        <v>10500</v>
      </c>
      <c r="G30" s="12">
        <v>2100</v>
      </c>
      <c r="H30" s="12">
        <v>11000</v>
      </c>
      <c r="I30" s="12">
        <v>9200</v>
      </c>
      <c r="J30" s="12">
        <v>22</v>
      </c>
    </row>
    <row r="31" spans="1:10" x14ac:dyDescent="0.3">
      <c r="A31" s="10">
        <v>45706</v>
      </c>
      <c r="B31" s="11" t="s">
        <v>23</v>
      </c>
      <c r="C31" s="11" t="s">
        <v>9</v>
      </c>
      <c r="D31" s="11" t="s">
        <v>22</v>
      </c>
      <c r="E31" s="11" t="s">
        <v>10</v>
      </c>
      <c r="F31" s="12">
        <v>7600</v>
      </c>
      <c r="G31" s="12">
        <v>1520</v>
      </c>
      <c r="H31" s="12">
        <v>8000</v>
      </c>
      <c r="I31" s="12">
        <v>7000</v>
      </c>
      <c r="J31" s="12">
        <v>17</v>
      </c>
    </row>
    <row r="32" spans="1:10" x14ac:dyDescent="0.3">
      <c r="A32" s="10">
        <v>45731</v>
      </c>
      <c r="B32" s="11" t="s">
        <v>24</v>
      </c>
      <c r="C32" s="11" t="s">
        <v>11</v>
      </c>
      <c r="D32" s="11" t="s">
        <v>25</v>
      </c>
      <c r="E32" s="11" t="s">
        <v>12</v>
      </c>
      <c r="F32" s="12">
        <v>3200</v>
      </c>
      <c r="G32" s="12">
        <v>800</v>
      </c>
      <c r="H32" s="12">
        <v>3500</v>
      </c>
      <c r="I32" s="12">
        <v>2900</v>
      </c>
      <c r="J32" s="12">
        <v>30</v>
      </c>
    </row>
    <row r="33" spans="1:10" x14ac:dyDescent="0.3">
      <c r="A33" s="10">
        <v>45757</v>
      </c>
      <c r="B33" s="11" t="s">
        <v>26</v>
      </c>
      <c r="C33" s="11" t="s">
        <v>13</v>
      </c>
      <c r="D33" s="11" t="s">
        <v>25</v>
      </c>
      <c r="E33" s="11" t="s">
        <v>14</v>
      </c>
      <c r="F33" s="12">
        <v>2400</v>
      </c>
      <c r="G33" s="12">
        <v>600</v>
      </c>
      <c r="H33" s="12">
        <v>2600</v>
      </c>
      <c r="I33" s="12">
        <v>2200</v>
      </c>
      <c r="J33" s="12">
        <v>36</v>
      </c>
    </row>
    <row r="34" spans="1:10" x14ac:dyDescent="0.3">
      <c r="A34" s="10">
        <v>45799</v>
      </c>
      <c r="B34" s="11" t="s">
        <v>27</v>
      </c>
      <c r="C34" s="11" t="s">
        <v>7</v>
      </c>
      <c r="D34" s="11" t="s">
        <v>22</v>
      </c>
      <c r="E34" s="11" t="s">
        <v>12</v>
      </c>
      <c r="F34" s="12">
        <v>11800</v>
      </c>
      <c r="G34" s="12">
        <v>2360</v>
      </c>
      <c r="H34" s="12">
        <v>12000</v>
      </c>
      <c r="I34" s="12">
        <v>10500</v>
      </c>
      <c r="J34" s="12">
        <v>25</v>
      </c>
    </row>
    <row r="35" spans="1:10" x14ac:dyDescent="0.3">
      <c r="A35" s="10">
        <v>45822</v>
      </c>
      <c r="B35" s="11" t="s">
        <v>23</v>
      </c>
      <c r="C35" s="11" t="s">
        <v>9</v>
      </c>
      <c r="D35" s="11" t="s">
        <v>22</v>
      </c>
      <c r="E35" s="11" t="s">
        <v>10</v>
      </c>
      <c r="F35" s="12">
        <v>8400</v>
      </c>
      <c r="G35" s="12">
        <v>1680</v>
      </c>
      <c r="H35" s="12">
        <v>8500</v>
      </c>
      <c r="I35" s="12">
        <v>7800</v>
      </c>
      <c r="J35" s="12">
        <v>19</v>
      </c>
    </row>
    <row r="36" spans="1:10" x14ac:dyDescent="0.3">
      <c r="A36" s="10">
        <v>45847</v>
      </c>
      <c r="B36" s="11" t="s">
        <v>21</v>
      </c>
      <c r="C36" s="11" t="s">
        <v>11</v>
      </c>
      <c r="D36" s="11" t="s">
        <v>25</v>
      </c>
      <c r="E36" s="11" t="s">
        <v>8</v>
      </c>
      <c r="F36" s="12">
        <v>3500</v>
      </c>
      <c r="G36" s="12">
        <v>875</v>
      </c>
      <c r="H36" s="12">
        <v>3800</v>
      </c>
      <c r="I36" s="12">
        <v>3200</v>
      </c>
      <c r="J36" s="12">
        <v>33</v>
      </c>
    </row>
    <row r="37" spans="1:10" x14ac:dyDescent="0.3">
      <c r="A37" s="10">
        <v>45890</v>
      </c>
      <c r="B37" s="11" t="s">
        <v>26</v>
      </c>
      <c r="C37" s="11" t="s">
        <v>13</v>
      </c>
      <c r="D37" s="11" t="s">
        <v>25</v>
      </c>
      <c r="E37" s="11" t="s">
        <v>14</v>
      </c>
      <c r="F37" s="12">
        <v>2700</v>
      </c>
      <c r="G37" s="12">
        <v>675</v>
      </c>
      <c r="H37" s="12">
        <v>2800</v>
      </c>
      <c r="I37" s="12">
        <v>2500</v>
      </c>
      <c r="J37" s="12">
        <v>39</v>
      </c>
    </row>
    <row r="38" spans="1:10" x14ac:dyDescent="0.3">
      <c r="A38" s="10">
        <v>45903</v>
      </c>
      <c r="B38" s="11" t="s">
        <v>27</v>
      </c>
      <c r="C38" s="11" t="s">
        <v>7</v>
      </c>
      <c r="D38" s="11" t="s">
        <v>22</v>
      </c>
      <c r="E38" s="11" t="s">
        <v>12</v>
      </c>
      <c r="F38" s="12">
        <v>12500</v>
      </c>
      <c r="G38" s="12">
        <v>2500</v>
      </c>
      <c r="H38" s="12">
        <v>12000</v>
      </c>
      <c r="I38" s="12">
        <v>11000</v>
      </c>
      <c r="J38" s="12">
        <v>26</v>
      </c>
    </row>
    <row r="39" spans="1:10" x14ac:dyDescent="0.3">
      <c r="A39" s="10">
        <v>45947</v>
      </c>
      <c r="B39" s="11" t="s">
        <v>23</v>
      </c>
      <c r="C39" s="11" t="s">
        <v>9</v>
      </c>
      <c r="D39" s="11" t="s">
        <v>22</v>
      </c>
      <c r="E39" s="11" t="s">
        <v>10</v>
      </c>
      <c r="F39" s="12">
        <v>8900</v>
      </c>
      <c r="G39" s="12">
        <v>1780</v>
      </c>
      <c r="H39" s="12">
        <v>9000</v>
      </c>
      <c r="I39" s="12">
        <v>8200</v>
      </c>
      <c r="J39" s="12">
        <v>21</v>
      </c>
    </row>
    <row r="40" spans="1:10" x14ac:dyDescent="0.3">
      <c r="A40" s="10">
        <v>45989</v>
      </c>
      <c r="B40" s="11" t="s">
        <v>24</v>
      </c>
      <c r="C40" s="11" t="s">
        <v>11</v>
      </c>
      <c r="D40" s="11" t="s">
        <v>25</v>
      </c>
      <c r="E40" s="11" t="s">
        <v>12</v>
      </c>
      <c r="F40" s="12">
        <v>3900</v>
      </c>
      <c r="G40" s="12">
        <v>975</v>
      </c>
      <c r="H40" s="12">
        <v>4000</v>
      </c>
      <c r="I40" s="12">
        <v>3500</v>
      </c>
      <c r="J40" s="12">
        <v>37</v>
      </c>
    </row>
    <row r="41" spans="1:10" x14ac:dyDescent="0.3">
      <c r="A41" s="10">
        <v>46006</v>
      </c>
      <c r="B41" s="11" t="s">
        <v>26</v>
      </c>
      <c r="C41" s="11" t="s">
        <v>13</v>
      </c>
      <c r="D41" s="11" t="s">
        <v>25</v>
      </c>
      <c r="E41" s="11" t="s">
        <v>14</v>
      </c>
      <c r="F41" s="12">
        <v>2900</v>
      </c>
      <c r="G41" s="12">
        <v>725</v>
      </c>
      <c r="H41" s="12">
        <v>3000</v>
      </c>
      <c r="I41" s="12">
        <v>2700</v>
      </c>
      <c r="J41" s="12">
        <v>43</v>
      </c>
    </row>
  </sheetData>
  <mergeCells count="7">
    <mergeCell ref="L1:Q1"/>
    <mergeCell ref="L2:M2"/>
    <mergeCell ref="N2:O2"/>
    <mergeCell ref="P2:Q2"/>
    <mergeCell ref="L3:M3"/>
    <mergeCell ref="N3:O3"/>
    <mergeCell ref="P3:Q3"/>
  </mergeCells>
  <conditionalFormatting sqref="Q6:Q9">
    <cfRule type="expression" dxfId="6" priority="1">
      <formula>Q6="Below Target"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Management Summary</vt:lpstr>
      <vt:lpstr>Data 1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Product Comparison</vt:lpstr>
      <vt:lpstr>41</vt:lpstr>
      <vt:lpstr>42</vt:lpstr>
      <vt:lpstr>43</vt:lpstr>
      <vt:lpstr>28 (3)</vt:lpstr>
      <vt:lpstr>29 (3)</vt:lpstr>
      <vt:lpstr>30 (3)</vt:lpstr>
      <vt:lpstr>23 (4)</vt:lpstr>
      <vt:lpstr>24 (4)</vt:lpstr>
      <vt:lpstr>25 (4)</vt:lpstr>
      <vt:lpstr>26 (4)</vt:lpstr>
      <vt:lpstr>27 (4)</vt:lpstr>
      <vt:lpstr>28 (4)</vt:lpstr>
      <vt:lpstr>29 (4)</vt:lpstr>
      <vt:lpstr>30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2026-08-07T21:57:35Z</dcterms:created>
  <dcterms:modified xsi:type="dcterms:W3CDTF">2026-08-12T15:35:26Z</dcterms:modified>
</cp:coreProperties>
</file>