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C:\Users\aditi\Downloads\"/>
    </mc:Choice>
  </mc:AlternateContent>
  <xr:revisionPtr revIDLastSave="0" documentId="13_ncr:1_{40FD0E7B-D701-49DC-B04A-A6A37933676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ales" sheetId="1" r:id="rId1"/>
    <sheet name="Customers" sheetId="2" r:id="rId2"/>
    <sheet name="Products" sheetId="3" r:id="rId3"/>
    <sheet name="Revenue Pivot" sheetId="5" r:id="rId4"/>
    <sheet name="Price Sensitivity" sheetId="6" r:id="rId5"/>
    <sheet name="2025 Region Chart" sheetId="7" r:id="rId6"/>
    <sheet name="YoY Sales Summary" sheetId="8" r:id="rId7"/>
  </sheets>
  <calcPr calcId="191029" iterateDelta="1E-4"/>
  <pivotCaches>
    <pivotCache cacheId="0" r:id="rId8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7" i="6" l="1"/>
  <c r="D16" i="6"/>
  <c r="D15" i="6"/>
  <c r="D14" i="6"/>
  <c r="D13" i="6"/>
  <c r="B17" i="6"/>
  <c r="C17" i="6" s="1"/>
  <c r="F17" i="6" s="1"/>
  <c r="B16" i="6"/>
  <c r="C16" i="6" s="1"/>
  <c r="F16" i="6" s="1"/>
  <c r="B15" i="6"/>
  <c r="C15" i="6" s="1"/>
  <c r="F15" i="6" s="1"/>
  <c r="B14" i="6"/>
  <c r="C14" i="6" s="1"/>
  <c r="F14" i="6" s="1"/>
  <c r="B13" i="6"/>
  <c r="C13" i="6" s="1"/>
  <c r="F13" i="6" s="1"/>
  <c r="D12" i="6"/>
  <c r="D18" i="6" s="1"/>
  <c r="B12" i="6"/>
  <c r="C12" i="6" s="1"/>
  <c r="F12" i="6" s="1"/>
  <c r="B7" i="6"/>
  <c r="C7" i="6" s="1"/>
  <c r="D7" i="6" s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L2" i="1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D2" i="2"/>
  <c r="C2" i="2"/>
  <c r="K206" i="1"/>
  <c r="K205" i="1"/>
  <c r="K4" i="1"/>
  <c r="K10" i="1"/>
  <c r="K202" i="1"/>
  <c r="K19" i="1"/>
  <c r="K200" i="1"/>
  <c r="K199" i="1"/>
  <c r="K22" i="1"/>
  <c r="K197" i="1"/>
  <c r="K196" i="1"/>
  <c r="K195" i="1"/>
  <c r="K194" i="1"/>
  <c r="K193" i="1"/>
  <c r="K192" i="1"/>
  <c r="K191" i="1"/>
  <c r="K23" i="1"/>
  <c r="K189" i="1"/>
  <c r="K188" i="1"/>
  <c r="K27" i="1"/>
  <c r="K186" i="1"/>
  <c r="K185" i="1"/>
  <c r="K26" i="1"/>
  <c r="K183" i="1"/>
  <c r="K182" i="1"/>
  <c r="K181" i="1"/>
  <c r="K29" i="1"/>
  <c r="K179" i="1"/>
  <c r="K178" i="1"/>
  <c r="K35" i="1"/>
  <c r="K176" i="1"/>
  <c r="K175" i="1"/>
  <c r="K174" i="1"/>
  <c r="K173" i="1"/>
  <c r="K172" i="1"/>
  <c r="K171" i="1"/>
  <c r="K170" i="1"/>
  <c r="K169" i="1"/>
  <c r="K168" i="1"/>
  <c r="K167" i="1"/>
  <c r="K166" i="1"/>
  <c r="K37" i="1"/>
  <c r="K164" i="1"/>
  <c r="K41" i="1"/>
  <c r="K162" i="1"/>
  <c r="K42" i="1"/>
  <c r="K44" i="1"/>
  <c r="K159" i="1"/>
  <c r="K158" i="1"/>
  <c r="K157" i="1"/>
  <c r="K156" i="1"/>
  <c r="K155" i="1"/>
  <c r="K154" i="1"/>
  <c r="K153" i="1"/>
  <c r="K152" i="1"/>
  <c r="K151" i="1"/>
  <c r="K150" i="1"/>
  <c r="K149" i="1"/>
  <c r="K47" i="1"/>
  <c r="K147" i="1"/>
  <c r="K49" i="1"/>
  <c r="K145" i="1"/>
  <c r="K144" i="1"/>
  <c r="K143" i="1"/>
  <c r="K142" i="1"/>
  <c r="K141" i="1"/>
  <c r="K51" i="1"/>
  <c r="K139" i="1"/>
  <c r="K64" i="1"/>
  <c r="K137" i="1"/>
  <c r="K136" i="1"/>
  <c r="K135" i="1"/>
  <c r="K134" i="1"/>
  <c r="K133" i="1"/>
  <c r="K66" i="1"/>
  <c r="K131" i="1"/>
  <c r="K130" i="1"/>
  <c r="K129" i="1"/>
  <c r="K128" i="1"/>
  <c r="K67" i="1"/>
  <c r="K126" i="1"/>
  <c r="K125" i="1"/>
  <c r="K124" i="1"/>
  <c r="K123" i="1"/>
  <c r="K122" i="1"/>
  <c r="K121" i="1"/>
  <c r="K68" i="1"/>
  <c r="K70" i="1"/>
  <c r="K118" i="1"/>
  <c r="K117" i="1"/>
  <c r="K116" i="1"/>
  <c r="K72" i="1"/>
  <c r="K114" i="1"/>
  <c r="K77" i="1"/>
  <c r="K79" i="1"/>
  <c r="K111" i="1"/>
  <c r="K110" i="1"/>
  <c r="K109" i="1"/>
  <c r="K108" i="1"/>
  <c r="K107" i="1"/>
  <c r="K106" i="1"/>
  <c r="K83" i="1"/>
  <c r="K104" i="1"/>
  <c r="K103" i="1"/>
  <c r="K102" i="1"/>
  <c r="K101" i="1"/>
  <c r="K100" i="1"/>
  <c r="K87" i="1"/>
  <c r="K90" i="1"/>
  <c r="K97" i="1"/>
  <c r="K96" i="1"/>
  <c r="K95" i="1"/>
  <c r="K92" i="1"/>
  <c r="K93" i="1"/>
  <c r="K94" i="1"/>
  <c r="K91" i="1"/>
  <c r="K98" i="1"/>
  <c r="K89" i="1"/>
  <c r="K88" i="1"/>
  <c r="K99" i="1"/>
  <c r="K86" i="1"/>
  <c r="K85" i="1"/>
  <c r="K84" i="1"/>
  <c r="K105" i="1"/>
  <c r="K82" i="1"/>
  <c r="K81" i="1"/>
  <c r="K80" i="1"/>
  <c r="K112" i="1"/>
  <c r="K78" i="1"/>
  <c r="K113" i="1"/>
  <c r="K76" i="1"/>
  <c r="K75" i="1"/>
  <c r="K74" i="1"/>
  <c r="K73" i="1"/>
  <c r="K115" i="1"/>
  <c r="K71" i="1"/>
  <c r="K119" i="1"/>
  <c r="K69" i="1"/>
  <c r="K120" i="1"/>
  <c r="K132" i="1"/>
  <c r="K127" i="1"/>
  <c r="K65" i="1"/>
  <c r="K138" i="1"/>
  <c r="K63" i="1"/>
  <c r="K62" i="1"/>
  <c r="K61" i="1"/>
  <c r="K60" i="1"/>
  <c r="K59" i="1"/>
  <c r="K58" i="1"/>
  <c r="K57" i="1"/>
  <c r="K56" i="1"/>
  <c r="K55" i="1"/>
  <c r="K54" i="1"/>
  <c r="K53" i="1"/>
  <c r="K52" i="1"/>
  <c r="K140" i="1"/>
  <c r="K50" i="1"/>
  <c r="K146" i="1"/>
  <c r="K48" i="1"/>
  <c r="K148" i="1"/>
  <c r="K46" i="1"/>
  <c r="K45" i="1"/>
  <c r="K160" i="1"/>
  <c r="K43" i="1"/>
  <c r="K163" i="1"/>
  <c r="K161" i="1"/>
  <c r="K40" i="1"/>
  <c r="K39" i="1"/>
  <c r="K38" i="1"/>
  <c r="K165" i="1"/>
  <c r="K36" i="1"/>
  <c r="K177" i="1"/>
  <c r="K34" i="1"/>
  <c r="K33" i="1"/>
  <c r="K32" i="1"/>
  <c r="K31" i="1"/>
  <c r="K30" i="1"/>
  <c r="K180" i="1"/>
  <c r="K28" i="1"/>
  <c r="K184" i="1"/>
  <c r="K187" i="1"/>
  <c r="K25" i="1"/>
  <c r="K24" i="1"/>
  <c r="K198" i="1"/>
  <c r="K190" i="1"/>
  <c r="K21" i="1"/>
  <c r="K20" i="1"/>
  <c r="K201" i="1"/>
  <c r="K18" i="1"/>
  <c r="K17" i="1"/>
  <c r="K16" i="1"/>
  <c r="K15" i="1"/>
  <c r="K14" i="1"/>
  <c r="K13" i="1"/>
  <c r="K12" i="1"/>
  <c r="K11" i="1"/>
  <c r="K203" i="1"/>
  <c r="K9" i="1"/>
  <c r="K8" i="1"/>
  <c r="K7" i="1"/>
  <c r="K6" i="1"/>
  <c r="K5" i="1"/>
  <c r="K204" i="1"/>
  <c r="K3" i="1"/>
  <c r="K2" i="1"/>
  <c r="H206" i="1"/>
  <c r="F206" i="1"/>
  <c r="J206" i="1" s="1"/>
  <c r="H205" i="1"/>
  <c r="F205" i="1"/>
  <c r="J205" i="1" s="1"/>
  <c r="H4" i="1"/>
  <c r="F4" i="1"/>
  <c r="H10" i="1"/>
  <c r="F10" i="1"/>
  <c r="J10" i="1" s="1"/>
  <c r="H202" i="1"/>
  <c r="F202" i="1"/>
  <c r="J202" i="1" s="1"/>
  <c r="H19" i="1"/>
  <c r="F19" i="1"/>
  <c r="J19" i="1" s="1"/>
  <c r="H200" i="1"/>
  <c r="F200" i="1"/>
  <c r="J200" i="1" s="1"/>
  <c r="H199" i="1"/>
  <c r="F199" i="1"/>
  <c r="J199" i="1" s="1"/>
  <c r="H22" i="1"/>
  <c r="F22" i="1"/>
  <c r="H197" i="1"/>
  <c r="F197" i="1"/>
  <c r="J197" i="1" s="1"/>
  <c r="H196" i="1"/>
  <c r="F196" i="1"/>
  <c r="J196" i="1" s="1"/>
  <c r="H195" i="1"/>
  <c r="F195" i="1"/>
  <c r="J195" i="1" s="1"/>
  <c r="H194" i="1"/>
  <c r="F194" i="1"/>
  <c r="J194" i="1" s="1"/>
  <c r="H193" i="1"/>
  <c r="F193" i="1"/>
  <c r="J193" i="1" s="1"/>
  <c r="H192" i="1"/>
  <c r="F192" i="1"/>
  <c r="J192" i="1" s="1"/>
  <c r="H191" i="1"/>
  <c r="F191" i="1"/>
  <c r="J191" i="1" s="1"/>
  <c r="H23" i="1"/>
  <c r="F23" i="1"/>
  <c r="H189" i="1"/>
  <c r="F189" i="1"/>
  <c r="J189" i="1" s="1"/>
  <c r="H188" i="1"/>
  <c r="F188" i="1"/>
  <c r="J188" i="1" s="1"/>
  <c r="H27" i="1"/>
  <c r="F27" i="1"/>
  <c r="J27" i="1" s="1"/>
  <c r="H186" i="1"/>
  <c r="F186" i="1"/>
  <c r="J186" i="1" s="1"/>
  <c r="H185" i="1"/>
  <c r="F185" i="1"/>
  <c r="J185" i="1" s="1"/>
  <c r="H26" i="1"/>
  <c r="F26" i="1"/>
  <c r="J26" i="1" s="1"/>
  <c r="H183" i="1"/>
  <c r="F183" i="1"/>
  <c r="J183" i="1" s="1"/>
  <c r="H182" i="1"/>
  <c r="F182" i="1"/>
  <c r="J182" i="1" s="1"/>
  <c r="H181" i="1"/>
  <c r="F181" i="1"/>
  <c r="J181" i="1" s="1"/>
  <c r="H29" i="1"/>
  <c r="F29" i="1"/>
  <c r="J29" i="1" s="1"/>
  <c r="H179" i="1"/>
  <c r="F179" i="1"/>
  <c r="J179" i="1" s="1"/>
  <c r="H178" i="1"/>
  <c r="F178" i="1"/>
  <c r="J178" i="1" s="1"/>
  <c r="H35" i="1"/>
  <c r="F35" i="1"/>
  <c r="H176" i="1"/>
  <c r="F176" i="1"/>
  <c r="J176" i="1" s="1"/>
  <c r="H175" i="1"/>
  <c r="F175" i="1"/>
  <c r="J175" i="1" s="1"/>
  <c r="H174" i="1"/>
  <c r="F174" i="1"/>
  <c r="J174" i="1" s="1"/>
  <c r="H173" i="1"/>
  <c r="F173" i="1"/>
  <c r="J173" i="1" s="1"/>
  <c r="H172" i="1"/>
  <c r="F172" i="1"/>
  <c r="J172" i="1" s="1"/>
  <c r="H171" i="1"/>
  <c r="F171" i="1"/>
  <c r="J171" i="1" s="1"/>
  <c r="H170" i="1"/>
  <c r="F170" i="1"/>
  <c r="J170" i="1" s="1"/>
  <c r="H169" i="1"/>
  <c r="F169" i="1"/>
  <c r="J169" i="1" s="1"/>
  <c r="H168" i="1"/>
  <c r="F168" i="1"/>
  <c r="J168" i="1" s="1"/>
  <c r="H167" i="1"/>
  <c r="F167" i="1"/>
  <c r="J167" i="1" s="1"/>
  <c r="H166" i="1"/>
  <c r="F166" i="1"/>
  <c r="J166" i="1" s="1"/>
  <c r="H37" i="1"/>
  <c r="F37" i="1"/>
  <c r="H164" i="1"/>
  <c r="F164" i="1"/>
  <c r="J164" i="1" s="1"/>
  <c r="H41" i="1"/>
  <c r="F41" i="1"/>
  <c r="J41" i="1" s="1"/>
  <c r="H162" i="1"/>
  <c r="F162" i="1"/>
  <c r="J162" i="1" s="1"/>
  <c r="H42" i="1"/>
  <c r="F42" i="1"/>
  <c r="J42" i="1" s="1"/>
  <c r="H44" i="1"/>
  <c r="F44" i="1"/>
  <c r="J44" i="1" s="1"/>
  <c r="H159" i="1"/>
  <c r="F159" i="1"/>
  <c r="J159" i="1" s="1"/>
  <c r="H158" i="1"/>
  <c r="F158" i="1"/>
  <c r="J158" i="1" s="1"/>
  <c r="H157" i="1"/>
  <c r="F157" i="1"/>
  <c r="J157" i="1" s="1"/>
  <c r="H156" i="1"/>
  <c r="F156" i="1"/>
  <c r="J156" i="1" s="1"/>
  <c r="H155" i="1"/>
  <c r="F155" i="1"/>
  <c r="J155" i="1" s="1"/>
  <c r="H154" i="1"/>
  <c r="F154" i="1"/>
  <c r="J154" i="1" s="1"/>
  <c r="H153" i="1"/>
  <c r="F153" i="1"/>
  <c r="J153" i="1" s="1"/>
  <c r="H152" i="1"/>
  <c r="F152" i="1"/>
  <c r="J152" i="1" s="1"/>
  <c r="H151" i="1"/>
  <c r="F151" i="1"/>
  <c r="J151" i="1" s="1"/>
  <c r="H150" i="1"/>
  <c r="F150" i="1"/>
  <c r="H149" i="1"/>
  <c r="F149" i="1"/>
  <c r="J149" i="1" s="1"/>
  <c r="H47" i="1"/>
  <c r="F47" i="1"/>
  <c r="H147" i="1"/>
  <c r="F147" i="1"/>
  <c r="J147" i="1" s="1"/>
  <c r="H49" i="1"/>
  <c r="F49" i="1"/>
  <c r="J49" i="1" s="1"/>
  <c r="H145" i="1"/>
  <c r="F145" i="1"/>
  <c r="J145" i="1" s="1"/>
  <c r="H144" i="1"/>
  <c r="F144" i="1"/>
  <c r="J144" i="1" s="1"/>
  <c r="H143" i="1"/>
  <c r="F143" i="1"/>
  <c r="J143" i="1" s="1"/>
  <c r="H142" i="1"/>
  <c r="F142" i="1"/>
  <c r="J142" i="1" s="1"/>
  <c r="H141" i="1"/>
  <c r="F141" i="1"/>
  <c r="J141" i="1" s="1"/>
  <c r="H51" i="1"/>
  <c r="F51" i="1"/>
  <c r="H139" i="1"/>
  <c r="F139" i="1"/>
  <c r="J139" i="1" s="1"/>
  <c r="H64" i="1"/>
  <c r="F64" i="1"/>
  <c r="J64" i="1" s="1"/>
  <c r="H137" i="1"/>
  <c r="F137" i="1"/>
  <c r="J137" i="1" s="1"/>
  <c r="H136" i="1"/>
  <c r="F136" i="1"/>
  <c r="J136" i="1" s="1"/>
  <c r="H135" i="1"/>
  <c r="F135" i="1"/>
  <c r="J135" i="1" s="1"/>
  <c r="H134" i="1"/>
  <c r="F134" i="1"/>
  <c r="J134" i="1" s="1"/>
  <c r="H133" i="1"/>
  <c r="F133" i="1"/>
  <c r="J133" i="1" s="1"/>
  <c r="H66" i="1"/>
  <c r="F66" i="1"/>
  <c r="J66" i="1" s="1"/>
  <c r="H131" i="1"/>
  <c r="F131" i="1"/>
  <c r="J131" i="1" s="1"/>
  <c r="H130" i="1"/>
  <c r="F130" i="1"/>
  <c r="J130" i="1" s="1"/>
  <c r="H129" i="1"/>
  <c r="F129" i="1"/>
  <c r="J129" i="1" s="1"/>
  <c r="H128" i="1"/>
  <c r="F128" i="1"/>
  <c r="J128" i="1" s="1"/>
  <c r="H67" i="1"/>
  <c r="F67" i="1"/>
  <c r="H126" i="1"/>
  <c r="F126" i="1"/>
  <c r="J126" i="1" s="1"/>
  <c r="H125" i="1"/>
  <c r="F125" i="1"/>
  <c r="J125" i="1" s="1"/>
  <c r="H124" i="1"/>
  <c r="F124" i="1"/>
  <c r="J124" i="1" s="1"/>
  <c r="H123" i="1"/>
  <c r="F123" i="1"/>
  <c r="J123" i="1" s="1"/>
  <c r="H122" i="1"/>
  <c r="F122" i="1"/>
  <c r="J122" i="1" s="1"/>
  <c r="H121" i="1"/>
  <c r="F121" i="1"/>
  <c r="J121" i="1" s="1"/>
  <c r="H68" i="1"/>
  <c r="F68" i="1"/>
  <c r="H70" i="1"/>
  <c r="F70" i="1"/>
  <c r="J70" i="1" s="1"/>
  <c r="H118" i="1"/>
  <c r="F118" i="1"/>
  <c r="J118" i="1" s="1"/>
  <c r="H117" i="1"/>
  <c r="F117" i="1"/>
  <c r="J117" i="1" s="1"/>
  <c r="H116" i="1"/>
  <c r="F116" i="1"/>
  <c r="J116" i="1" s="1"/>
  <c r="H72" i="1"/>
  <c r="F72" i="1"/>
  <c r="J72" i="1" s="1"/>
  <c r="H114" i="1"/>
  <c r="F114" i="1"/>
  <c r="J114" i="1" s="1"/>
  <c r="H77" i="1"/>
  <c r="F77" i="1"/>
  <c r="H79" i="1"/>
  <c r="F79" i="1"/>
  <c r="J79" i="1" s="1"/>
  <c r="H111" i="1"/>
  <c r="F111" i="1"/>
  <c r="J111" i="1" s="1"/>
  <c r="H110" i="1"/>
  <c r="F110" i="1"/>
  <c r="J110" i="1" s="1"/>
  <c r="H109" i="1"/>
  <c r="F109" i="1"/>
  <c r="J109" i="1" s="1"/>
  <c r="H108" i="1"/>
  <c r="F108" i="1"/>
  <c r="J108" i="1" s="1"/>
  <c r="H107" i="1"/>
  <c r="F107" i="1"/>
  <c r="J107" i="1" s="1"/>
  <c r="H106" i="1"/>
  <c r="F106" i="1"/>
  <c r="J106" i="1" s="1"/>
  <c r="H83" i="1"/>
  <c r="F83" i="1"/>
  <c r="J83" i="1" s="1"/>
  <c r="H104" i="1"/>
  <c r="F104" i="1"/>
  <c r="J104" i="1" s="1"/>
  <c r="H103" i="1"/>
  <c r="F103" i="1"/>
  <c r="J103" i="1" s="1"/>
  <c r="H102" i="1"/>
  <c r="F102" i="1"/>
  <c r="J102" i="1" s="1"/>
  <c r="H101" i="1"/>
  <c r="F101" i="1"/>
  <c r="J101" i="1" s="1"/>
  <c r="H100" i="1"/>
  <c r="F100" i="1"/>
  <c r="J100" i="1" s="1"/>
  <c r="H87" i="1"/>
  <c r="F87" i="1"/>
  <c r="H90" i="1"/>
  <c r="F90" i="1"/>
  <c r="J90" i="1" s="1"/>
  <c r="H97" i="1"/>
  <c r="F97" i="1"/>
  <c r="J97" i="1" s="1"/>
  <c r="H96" i="1"/>
  <c r="F96" i="1"/>
  <c r="J96" i="1" s="1"/>
  <c r="H95" i="1"/>
  <c r="F95" i="1"/>
  <c r="J95" i="1" s="1"/>
  <c r="H92" i="1"/>
  <c r="F92" i="1"/>
  <c r="J92" i="1" s="1"/>
  <c r="H93" i="1"/>
  <c r="F93" i="1"/>
  <c r="J93" i="1" s="1"/>
  <c r="H94" i="1"/>
  <c r="F94" i="1"/>
  <c r="J94" i="1" s="1"/>
  <c r="H91" i="1"/>
  <c r="F91" i="1"/>
  <c r="H98" i="1"/>
  <c r="F98" i="1"/>
  <c r="J98" i="1" s="1"/>
  <c r="H89" i="1"/>
  <c r="F89" i="1"/>
  <c r="J89" i="1" s="1"/>
  <c r="H88" i="1"/>
  <c r="F88" i="1"/>
  <c r="J88" i="1" s="1"/>
  <c r="H99" i="1"/>
  <c r="F99" i="1"/>
  <c r="J99" i="1" s="1"/>
  <c r="H86" i="1"/>
  <c r="F86" i="1"/>
  <c r="J86" i="1" s="1"/>
  <c r="H85" i="1"/>
  <c r="F85" i="1"/>
  <c r="J85" i="1" s="1"/>
  <c r="H84" i="1"/>
  <c r="F84" i="1"/>
  <c r="H105" i="1"/>
  <c r="F105" i="1"/>
  <c r="J105" i="1" s="1"/>
  <c r="H82" i="1"/>
  <c r="F82" i="1"/>
  <c r="J82" i="1" s="1"/>
  <c r="H81" i="1"/>
  <c r="F81" i="1"/>
  <c r="J81" i="1" s="1"/>
  <c r="H80" i="1"/>
  <c r="F80" i="1"/>
  <c r="J80" i="1" s="1"/>
  <c r="H112" i="1"/>
  <c r="F112" i="1"/>
  <c r="J112" i="1" s="1"/>
  <c r="H78" i="1"/>
  <c r="F78" i="1"/>
  <c r="J78" i="1" s="1"/>
  <c r="H113" i="1"/>
  <c r="F113" i="1"/>
  <c r="J113" i="1" s="1"/>
  <c r="H76" i="1"/>
  <c r="F76" i="1"/>
  <c r="J76" i="1" s="1"/>
  <c r="H75" i="1"/>
  <c r="F75" i="1"/>
  <c r="H74" i="1"/>
  <c r="F74" i="1"/>
  <c r="J74" i="1" s="1"/>
  <c r="H73" i="1"/>
  <c r="F73" i="1"/>
  <c r="J73" i="1" s="1"/>
  <c r="H115" i="1"/>
  <c r="F115" i="1"/>
  <c r="J115" i="1" s="1"/>
  <c r="H71" i="1"/>
  <c r="F71" i="1"/>
  <c r="J71" i="1" s="1"/>
  <c r="H119" i="1"/>
  <c r="F119" i="1"/>
  <c r="J119" i="1" s="1"/>
  <c r="H69" i="1"/>
  <c r="F69" i="1"/>
  <c r="J69" i="1" s="1"/>
  <c r="H120" i="1"/>
  <c r="F120" i="1"/>
  <c r="J120" i="1" s="1"/>
  <c r="H132" i="1"/>
  <c r="F132" i="1"/>
  <c r="J132" i="1" s="1"/>
  <c r="H127" i="1"/>
  <c r="F127" i="1"/>
  <c r="J127" i="1" s="1"/>
  <c r="H65" i="1"/>
  <c r="F65" i="1"/>
  <c r="H138" i="1"/>
  <c r="F138" i="1"/>
  <c r="J138" i="1" s="1"/>
  <c r="H63" i="1"/>
  <c r="F63" i="1"/>
  <c r="J63" i="1" s="1"/>
  <c r="H62" i="1"/>
  <c r="F62" i="1"/>
  <c r="J62" i="1" s="1"/>
  <c r="H61" i="1"/>
  <c r="F61" i="1"/>
  <c r="J61" i="1" s="1"/>
  <c r="H60" i="1"/>
  <c r="F60" i="1"/>
  <c r="J60" i="1" s="1"/>
  <c r="H59" i="1"/>
  <c r="F59" i="1"/>
  <c r="J59" i="1" s="1"/>
  <c r="H58" i="1"/>
  <c r="F58" i="1"/>
  <c r="J58" i="1" s="1"/>
  <c r="H57" i="1"/>
  <c r="F57" i="1"/>
  <c r="H56" i="1"/>
  <c r="F56" i="1"/>
  <c r="J56" i="1" s="1"/>
  <c r="H55" i="1"/>
  <c r="F55" i="1"/>
  <c r="J55" i="1" s="1"/>
  <c r="H54" i="1"/>
  <c r="F54" i="1"/>
  <c r="J54" i="1" s="1"/>
  <c r="H53" i="1"/>
  <c r="F53" i="1"/>
  <c r="J53" i="1" s="1"/>
  <c r="H52" i="1"/>
  <c r="F52" i="1"/>
  <c r="J52" i="1" s="1"/>
  <c r="H140" i="1"/>
  <c r="F140" i="1"/>
  <c r="J140" i="1" s="1"/>
  <c r="H50" i="1"/>
  <c r="F50" i="1"/>
  <c r="J50" i="1" s="1"/>
  <c r="H146" i="1"/>
  <c r="F146" i="1"/>
  <c r="J146" i="1" s="1"/>
  <c r="H48" i="1"/>
  <c r="F48" i="1"/>
  <c r="H148" i="1"/>
  <c r="F148" i="1"/>
  <c r="J148" i="1" s="1"/>
  <c r="H46" i="1"/>
  <c r="F46" i="1"/>
  <c r="J46" i="1" s="1"/>
  <c r="H45" i="1"/>
  <c r="F45" i="1"/>
  <c r="J45" i="1" s="1"/>
  <c r="H160" i="1"/>
  <c r="F160" i="1"/>
  <c r="J160" i="1" s="1"/>
  <c r="H43" i="1"/>
  <c r="F43" i="1"/>
  <c r="H163" i="1"/>
  <c r="F163" i="1"/>
  <c r="J163" i="1" s="1"/>
  <c r="H161" i="1"/>
  <c r="F161" i="1"/>
  <c r="J161" i="1" s="1"/>
  <c r="H40" i="1"/>
  <c r="F40" i="1"/>
  <c r="J40" i="1" s="1"/>
  <c r="H39" i="1"/>
  <c r="F39" i="1"/>
  <c r="J39" i="1" s="1"/>
  <c r="H38" i="1"/>
  <c r="F38" i="1"/>
  <c r="J38" i="1" s="1"/>
  <c r="H165" i="1"/>
  <c r="F165" i="1"/>
  <c r="J165" i="1" s="1"/>
  <c r="H36" i="1"/>
  <c r="F36" i="1"/>
  <c r="J36" i="1" s="1"/>
  <c r="H177" i="1"/>
  <c r="F177" i="1"/>
  <c r="J177" i="1" s="1"/>
  <c r="H34" i="1"/>
  <c r="F34" i="1"/>
  <c r="J34" i="1" s="1"/>
  <c r="H33" i="1"/>
  <c r="F33" i="1"/>
  <c r="H32" i="1"/>
  <c r="F32" i="1"/>
  <c r="J32" i="1" s="1"/>
  <c r="H31" i="1"/>
  <c r="F31" i="1"/>
  <c r="J31" i="1" s="1"/>
  <c r="H30" i="1"/>
  <c r="F30" i="1"/>
  <c r="J30" i="1" s="1"/>
  <c r="H180" i="1"/>
  <c r="F180" i="1"/>
  <c r="J180" i="1" s="1"/>
  <c r="H28" i="1"/>
  <c r="F28" i="1"/>
  <c r="J28" i="1" s="1"/>
  <c r="H184" i="1"/>
  <c r="F184" i="1"/>
  <c r="J184" i="1" s="1"/>
  <c r="H187" i="1"/>
  <c r="F187" i="1"/>
  <c r="J187" i="1" s="1"/>
  <c r="H25" i="1"/>
  <c r="F25" i="1"/>
  <c r="H24" i="1"/>
  <c r="F24" i="1"/>
  <c r="J24" i="1" s="1"/>
  <c r="H198" i="1"/>
  <c r="F198" i="1"/>
  <c r="J198" i="1" s="1"/>
  <c r="H190" i="1"/>
  <c r="F190" i="1"/>
  <c r="J190" i="1" s="1"/>
  <c r="H21" i="1"/>
  <c r="F21" i="1"/>
  <c r="J21" i="1" s="1"/>
  <c r="H20" i="1"/>
  <c r="F20" i="1"/>
  <c r="J20" i="1" s="1"/>
  <c r="H201" i="1"/>
  <c r="F201" i="1"/>
  <c r="J201" i="1" s="1"/>
  <c r="H18" i="1"/>
  <c r="F18" i="1"/>
  <c r="H17" i="1"/>
  <c r="F17" i="1"/>
  <c r="J17" i="1" s="1"/>
  <c r="H16" i="1"/>
  <c r="F16" i="1"/>
  <c r="J16" i="1" s="1"/>
  <c r="H15" i="1"/>
  <c r="F15" i="1"/>
  <c r="J15" i="1" s="1"/>
  <c r="H14" i="1"/>
  <c r="F14" i="1"/>
  <c r="J14" i="1" s="1"/>
  <c r="H13" i="1"/>
  <c r="F13" i="1"/>
  <c r="H12" i="1"/>
  <c r="F12" i="1"/>
  <c r="J12" i="1" s="1"/>
  <c r="H11" i="1"/>
  <c r="F11" i="1"/>
  <c r="H203" i="1"/>
  <c r="F203" i="1"/>
  <c r="J203" i="1" s="1"/>
  <c r="H9" i="1"/>
  <c r="F9" i="1"/>
  <c r="J9" i="1" s="1"/>
  <c r="H8" i="1"/>
  <c r="F8" i="1"/>
  <c r="H7" i="1"/>
  <c r="F7" i="1"/>
  <c r="H6" i="1"/>
  <c r="F6" i="1"/>
  <c r="J6" i="1" s="1"/>
  <c r="H5" i="1"/>
  <c r="F5" i="1"/>
  <c r="J5" i="1" s="1"/>
  <c r="H204" i="1"/>
  <c r="F204" i="1"/>
  <c r="J204" i="1" s="1"/>
  <c r="H3" i="1"/>
  <c r="F3" i="1"/>
  <c r="E13" i="6" s="1"/>
  <c r="H2" i="1"/>
  <c r="F2" i="1"/>
  <c r="F18" i="6" l="1"/>
  <c r="J4" i="1"/>
  <c r="C16" i="8"/>
  <c r="E12" i="6"/>
  <c r="G12" i="6" s="1"/>
  <c r="G18" i="6" s="1"/>
  <c r="J22" i="1"/>
  <c r="C15" i="8"/>
  <c r="J23" i="1"/>
  <c r="C14" i="8"/>
  <c r="J35" i="1"/>
  <c r="C13" i="8"/>
  <c r="J37" i="1"/>
  <c r="C12" i="8"/>
  <c r="J150" i="1"/>
  <c r="C11" i="8"/>
  <c r="J47" i="1"/>
  <c r="C10" i="8"/>
  <c r="J51" i="1"/>
  <c r="C9" i="8"/>
  <c r="J67" i="1"/>
  <c r="C8" i="8"/>
  <c r="J68" i="1"/>
  <c r="C7" i="8"/>
  <c r="J77" i="1"/>
  <c r="C6" i="8"/>
  <c r="J87" i="1"/>
  <c r="C5" i="8"/>
  <c r="J91" i="1"/>
  <c r="B16" i="8"/>
  <c r="J84" i="1"/>
  <c r="B15" i="8"/>
  <c r="J75" i="1"/>
  <c r="B14" i="8"/>
  <c r="J65" i="1"/>
  <c r="B13" i="8"/>
  <c r="J57" i="1"/>
  <c r="B12" i="8"/>
  <c r="J48" i="1"/>
  <c r="B11" i="8"/>
  <c r="J43" i="1"/>
  <c r="B10" i="8"/>
  <c r="J33" i="1"/>
  <c r="B9" i="8"/>
  <c r="J25" i="1"/>
  <c r="B8" i="8"/>
  <c r="J18" i="1"/>
  <c r="B7" i="8"/>
  <c r="J13" i="1"/>
  <c r="E15" i="6"/>
  <c r="G15" i="6" s="1"/>
  <c r="J11" i="1"/>
  <c r="B6" i="8"/>
  <c r="J8" i="1"/>
  <c r="E16" i="6"/>
  <c r="G16" i="6" s="1"/>
  <c r="J7" i="1"/>
  <c r="E14" i="6"/>
  <c r="G14" i="6" s="1"/>
  <c r="J2" i="1"/>
  <c r="B5" i="8"/>
  <c r="B17" i="8" s="1"/>
  <c r="E17" i="6"/>
  <c r="G17" i="6" s="1"/>
  <c r="B6" i="6"/>
  <c r="G13" i="6"/>
  <c r="K207" i="1"/>
  <c r="J3" i="1"/>
  <c r="F207" i="1"/>
  <c r="D5" i="8" l="1"/>
  <c r="C17" i="8"/>
  <c r="D17" i="8" s="1"/>
  <c r="C6" i="6"/>
  <c r="B8" i="6"/>
  <c r="B9" i="6" s="1"/>
  <c r="D16" i="8"/>
  <c r="D13" i="8"/>
  <c r="D10" i="8"/>
  <c r="D8" i="8"/>
  <c r="D7" i="8"/>
  <c r="E18" i="6"/>
  <c r="D14" i="8"/>
  <c r="D11" i="8"/>
  <c r="D6" i="8"/>
  <c r="D15" i="8"/>
  <c r="D12" i="8"/>
  <c r="D9" i="8"/>
  <c r="D6" i="6" l="1"/>
  <c r="C8" i="6"/>
  <c r="D8" i="6" l="1"/>
  <c r="C9" i="6"/>
  <c r="D9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2" authorId="0" shapeId="0" xr:uid="{00000000-0006-0000-0000-000001000000}">
      <text>
        <r>
          <rPr>
            <sz val="10"/>
            <rFont val="Arial"/>
            <family val="2"/>
          </rPr>
          <t>Intentional typo (letter O instead of zero). This makes H2 return #N/A for Example 4.</t>
        </r>
      </text>
    </comment>
  </commentList>
</comments>
</file>

<file path=xl/sharedStrings.xml><?xml version="1.0" encoding="utf-8"?>
<sst xmlns="http://schemas.openxmlformats.org/spreadsheetml/2006/main" count="1141" uniqueCount="432">
  <si>
    <t>Order ID</t>
  </si>
  <si>
    <t>Date</t>
  </si>
  <si>
    <t>Customer ID</t>
  </si>
  <si>
    <t>Product</t>
  </si>
  <si>
    <t>Quantity</t>
  </si>
  <si>
    <t>Revenue</t>
  </si>
  <si>
    <t>Cost</t>
  </si>
  <si>
    <t>Customer Name</t>
  </si>
  <si>
    <t>Status</t>
  </si>
  <si>
    <t>ORD-0001</t>
  </si>
  <si>
    <t>Tablet 11</t>
  </si>
  <si>
    <t>Open</t>
  </si>
  <si>
    <t>ORD-0002</t>
  </si>
  <si>
    <t>C131</t>
  </si>
  <si>
    <t>Desktop Tower</t>
  </si>
  <si>
    <t>Closed</t>
  </si>
  <si>
    <t>ORD-0003</t>
  </si>
  <si>
    <t>C123</t>
  </si>
  <si>
    <t>Server Rack Unit</t>
  </si>
  <si>
    <t>ORD-0004</t>
  </si>
  <si>
    <t>C113</t>
  </si>
  <si>
    <t>ORD-0005</t>
  </si>
  <si>
    <t>C122</t>
  </si>
  <si>
    <t>ORD-0006</t>
  </si>
  <si>
    <t>Monitor 27</t>
  </si>
  <si>
    <t>ORD-0007</t>
  </si>
  <si>
    <t>C140</t>
  </si>
  <si>
    <t>Wireless Printer</t>
  </si>
  <si>
    <t>ORD-0008</t>
  </si>
  <si>
    <t>C106</t>
  </si>
  <si>
    <t>ORD-0009</t>
  </si>
  <si>
    <t>C130</t>
  </si>
  <si>
    <t>ORD-0010</t>
  </si>
  <si>
    <t>ORD-0011</t>
  </si>
  <si>
    <t>C136</t>
  </si>
  <si>
    <t>ORD-0012</t>
  </si>
  <si>
    <t>ORD-0013</t>
  </si>
  <si>
    <t>C133</t>
  </si>
  <si>
    <t>ORD-0014</t>
  </si>
  <si>
    <t>C135</t>
  </si>
  <si>
    <t>ORD-0015</t>
  </si>
  <si>
    <t>ORD-0016</t>
  </si>
  <si>
    <t>C107</t>
  </si>
  <si>
    <t>ORD-0017</t>
  </si>
  <si>
    <t>C101</t>
  </si>
  <si>
    <t>ORD-0018</t>
  </si>
  <si>
    <t>ORD-0019</t>
  </si>
  <si>
    <t>Cancelled</t>
  </si>
  <si>
    <t>ORD-0020</t>
  </si>
  <si>
    <t>C102</t>
  </si>
  <si>
    <t>ORD-0021</t>
  </si>
  <si>
    <t>C121</t>
  </si>
  <si>
    <t>Laptop Pro 15</t>
  </si>
  <si>
    <t>ORD-0022</t>
  </si>
  <si>
    <t>ORD-0023</t>
  </si>
  <si>
    <t>ORD-0024</t>
  </si>
  <si>
    <t>C129</t>
  </si>
  <si>
    <t>ORD-0025</t>
  </si>
  <si>
    <t>C120</t>
  </si>
  <si>
    <t>ORD-0026</t>
  </si>
  <si>
    <t>C109</t>
  </si>
  <si>
    <t>ORD-0027</t>
  </si>
  <si>
    <t>C134</t>
  </si>
  <si>
    <t>ORD-0028</t>
  </si>
  <si>
    <t>ORD-0029</t>
  </si>
  <si>
    <t>ORD-0030</t>
  </si>
  <si>
    <t>C105</t>
  </si>
  <si>
    <t>ORD-0031</t>
  </si>
  <si>
    <t>ORD-0032</t>
  </si>
  <si>
    <t>C115</t>
  </si>
  <si>
    <t>ORD-0033</t>
  </si>
  <si>
    <t>C124</t>
  </si>
  <si>
    <t>ORD-0034</t>
  </si>
  <si>
    <t>ORD-0035</t>
  </si>
  <si>
    <t>ORD-0036</t>
  </si>
  <si>
    <t>ORD-0037</t>
  </si>
  <si>
    <t>ORD-0038</t>
  </si>
  <si>
    <t>ORD-0039</t>
  </si>
  <si>
    <t>ORD-0040</t>
  </si>
  <si>
    <t>C112</t>
  </si>
  <si>
    <t>ORD-0041</t>
  </si>
  <si>
    <t>ORD-0042</t>
  </si>
  <si>
    <t>C117</t>
  </si>
  <si>
    <t>ORD-0043</t>
  </si>
  <si>
    <t>ORD-0044</t>
  </si>
  <si>
    <t>C132</t>
  </si>
  <si>
    <t>ORD-0045</t>
  </si>
  <si>
    <t>ORD-0046</t>
  </si>
  <si>
    <t>C118</t>
  </si>
  <si>
    <t>ORD-0047</t>
  </si>
  <si>
    <t>ORD-0048</t>
  </si>
  <si>
    <t>ORD-0049</t>
  </si>
  <si>
    <t>ORD-0050</t>
  </si>
  <si>
    <t>ORD-0051</t>
  </si>
  <si>
    <t>ORD-0052</t>
  </si>
  <si>
    <t>ORD-0053</t>
  </si>
  <si>
    <t>ORD-0054</t>
  </si>
  <si>
    <t>C103</t>
  </si>
  <si>
    <t>ORD-0055</t>
  </si>
  <si>
    <t>ORD-0056</t>
  </si>
  <si>
    <t>ORD-0057</t>
  </si>
  <si>
    <t>ORD-0058</t>
  </si>
  <si>
    <t>C111</t>
  </si>
  <si>
    <t>ORD-0059</t>
  </si>
  <si>
    <t>ORD-0060</t>
  </si>
  <si>
    <t>ORD-0061</t>
  </si>
  <si>
    <t>ORD-0062</t>
  </si>
  <si>
    <t>C119</t>
  </si>
  <si>
    <t>ORD-0063</t>
  </si>
  <si>
    <t>ORD-0064</t>
  </si>
  <si>
    <t>ORD-0065</t>
  </si>
  <si>
    <t>ORD-0066</t>
  </si>
  <si>
    <t>C126</t>
  </si>
  <si>
    <t>ORD-0067</t>
  </si>
  <si>
    <t>ORD-0068</t>
  </si>
  <si>
    <t>ORD-0069</t>
  </si>
  <si>
    <t>ORD-0070</t>
  </si>
  <si>
    <t>C110</t>
  </si>
  <si>
    <t>ORD-0071</t>
  </si>
  <si>
    <t>C138</t>
  </si>
  <si>
    <t>ORD-0072</t>
  </si>
  <si>
    <t>ORD-0073</t>
  </si>
  <si>
    <t>C125</t>
  </si>
  <si>
    <t>ORD-0074</t>
  </si>
  <si>
    <t>ORD-0075</t>
  </si>
  <si>
    <t>ORD-0076</t>
  </si>
  <si>
    <t>ORD-0077</t>
  </si>
  <si>
    <t>ORD-0078</t>
  </si>
  <si>
    <t>ORD-0079</t>
  </si>
  <si>
    <t>ORD-0080</t>
  </si>
  <si>
    <t>ORD-0081</t>
  </si>
  <si>
    <t>C116</t>
  </si>
  <si>
    <t>ORD-0082</t>
  </si>
  <si>
    <t>C104</t>
  </si>
  <si>
    <t>ORD-0083</t>
  </si>
  <si>
    <t>ORD-0084</t>
  </si>
  <si>
    <t>ORD-0085</t>
  </si>
  <si>
    <t>ORD-0086</t>
  </si>
  <si>
    <t>C114</t>
  </si>
  <si>
    <t>ORD-0087</t>
  </si>
  <si>
    <t>ORD-0088</t>
  </si>
  <si>
    <t>ORD-0089</t>
  </si>
  <si>
    <t>ORD-0090</t>
  </si>
  <si>
    <t>ORD-0091</t>
  </si>
  <si>
    <t>ORD-0092</t>
  </si>
  <si>
    <t>ORD-0093</t>
  </si>
  <si>
    <t>ORD-0094</t>
  </si>
  <si>
    <t>ORD-0095</t>
  </si>
  <si>
    <t>ORD-0096</t>
  </si>
  <si>
    <t>C128</t>
  </si>
  <si>
    <t>ORD-0097</t>
  </si>
  <si>
    <t>ORD-0098</t>
  </si>
  <si>
    <t>ORD-0099</t>
  </si>
  <si>
    <t>ORD-0100</t>
  </si>
  <si>
    <t>ORD-0101</t>
  </si>
  <si>
    <t>ORD-0102</t>
  </si>
  <si>
    <t>ORD-0103</t>
  </si>
  <si>
    <t>ORD-0104</t>
  </si>
  <si>
    <t>ORD-0105</t>
  </si>
  <si>
    <t>ORD-0106</t>
  </si>
  <si>
    <t>ORD-0107</t>
  </si>
  <si>
    <t>ORD-0108</t>
  </si>
  <si>
    <t>ORD-0109</t>
  </si>
  <si>
    <t>ORD-0110</t>
  </si>
  <si>
    <t>ORD-0111</t>
  </si>
  <si>
    <t>ORD-0112</t>
  </si>
  <si>
    <t>ORD-0113</t>
  </si>
  <si>
    <t>C127</t>
  </si>
  <si>
    <t>ORD-0114</t>
  </si>
  <si>
    <t>ORD-0115</t>
  </si>
  <si>
    <t>ORD-0116</t>
  </si>
  <si>
    <t>ORD-0117</t>
  </si>
  <si>
    <t>ORD-0118</t>
  </si>
  <si>
    <t>ORD-0119</t>
  </si>
  <si>
    <t>ORD-0120</t>
  </si>
  <si>
    <t>ORD-0121</t>
  </si>
  <si>
    <t>ORD-0122</t>
  </si>
  <si>
    <t>ORD-0123</t>
  </si>
  <si>
    <t>ORD-0124</t>
  </si>
  <si>
    <t>ORD-0125</t>
  </si>
  <si>
    <t>ORD-0126</t>
  </si>
  <si>
    <t>ORD-0127</t>
  </si>
  <si>
    <t>ORD-0128</t>
  </si>
  <si>
    <t>ORD-0129</t>
  </si>
  <si>
    <t>ORD-0130</t>
  </si>
  <si>
    <t>ORD-0131</t>
  </si>
  <si>
    <t>ORD-0132</t>
  </si>
  <si>
    <t>ORD-0133</t>
  </si>
  <si>
    <t>ORD-0134</t>
  </si>
  <si>
    <t>ORD-0135</t>
  </si>
  <si>
    <t>ORD-0136</t>
  </si>
  <si>
    <t>ORD-0137</t>
  </si>
  <si>
    <t>ORD-0138</t>
  </si>
  <si>
    <t>ORD-0139</t>
  </si>
  <si>
    <t>ORD-0140</t>
  </si>
  <si>
    <t>ORD-0141</t>
  </si>
  <si>
    <t>ORD-0142</t>
  </si>
  <si>
    <t>ORD-0143</t>
  </si>
  <si>
    <t>ORD-0144</t>
  </si>
  <si>
    <t>ORD-0145</t>
  </si>
  <si>
    <t>ORD-0146</t>
  </si>
  <si>
    <t>C108</t>
  </si>
  <si>
    <t>ORD-0147</t>
  </si>
  <si>
    <t>ORD-0148</t>
  </si>
  <si>
    <t>ORD-0149</t>
  </si>
  <si>
    <t>ORD-0150</t>
  </si>
  <si>
    <t>ORD-0151</t>
  </si>
  <si>
    <t>ORD-0152</t>
  </si>
  <si>
    <t>ORD-0153</t>
  </si>
  <si>
    <t>ORD-0154</t>
  </si>
  <si>
    <t>ORD-0155</t>
  </si>
  <si>
    <t>ORD-0156</t>
  </si>
  <si>
    <t>ORD-0157</t>
  </si>
  <si>
    <t>ORD-0158</t>
  </si>
  <si>
    <t>ORD-0159</t>
  </si>
  <si>
    <t>ORD-0160</t>
  </si>
  <si>
    <t>ORD-0161</t>
  </si>
  <si>
    <t>ORD-0162</t>
  </si>
  <si>
    <t>ORD-0163</t>
  </si>
  <si>
    <t>ORD-0164</t>
  </si>
  <si>
    <t>ORD-0165</t>
  </si>
  <si>
    <t>ORD-0166</t>
  </si>
  <si>
    <t>C139</t>
  </si>
  <si>
    <t>ORD-0167</t>
  </si>
  <si>
    <t>ORD-0168</t>
  </si>
  <si>
    <t>ORD-0169</t>
  </si>
  <si>
    <t>ORD-0170</t>
  </si>
  <si>
    <t>ORD-0171</t>
  </si>
  <si>
    <t>ORD-0172</t>
  </si>
  <si>
    <t>ORD-0173</t>
  </si>
  <si>
    <t>ORD-0174</t>
  </si>
  <si>
    <t>ORD-0175</t>
  </si>
  <si>
    <t>ORD-0176</t>
  </si>
  <si>
    <t>ORD-0177</t>
  </si>
  <si>
    <t>ORD-0178</t>
  </si>
  <si>
    <t>ORD-0179</t>
  </si>
  <si>
    <t>ORD-0180</t>
  </si>
  <si>
    <t>ORD-0181</t>
  </si>
  <si>
    <t>ORD-0182</t>
  </si>
  <si>
    <t>ORD-0183</t>
  </si>
  <si>
    <t>ORD-0184</t>
  </si>
  <si>
    <t>ORD-0185</t>
  </si>
  <si>
    <t>ORD-0186</t>
  </si>
  <si>
    <t>ORD-0187</t>
  </si>
  <si>
    <t>ORD-0188</t>
  </si>
  <si>
    <t>ORD-0189</t>
  </si>
  <si>
    <t>ORD-0190</t>
  </si>
  <si>
    <t>ORD-0191</t>
  </si>
  <si>
    <t>ORD-0192</t>
  </si>
  <si>
    <t>ORD-0193</t>
  </si>
  <si>
    <t>ORD-0194</t>
  </si>
  <si>
    <t>ORD-0195</t>
  </si>
  <si>
    <t>ORD-0196</t>
  </si>
  <si>
    <t>ORD-0197</t>
  </si>
  <si>
    <t>ORD-0198</t>
  </si>
  <si>
    <t>ORD-0199</t>
  </si>
  <si>
    <t>ORD-0200</t>
  </si>
  <si>
    <t>ORD-0201</t>
  </si>
  <si>
    <t>ORD-0202</t>
  </si>
  <si>
    <t>ORD-0203</t>
  </si>
  <si>
    <t>ORD-0204</t>
  </si>
  <si>
    <t>ORD-0205</t>
  </si>
  <si>
    <t>Full Name</t>
  </si>
  <si>
    <t>Email</t>
  </si>
  <si>
    <t>Phone</t>
  </si>
  <si>
    <t>City</t>
  </si>
  <si>
    <t>Region</t>
  </si>
  <si>
    <t>James Smith</t>
  </si>
  <si>
    <t>james.smith@example.com</t>
  </si>
  <si>
    <t>(355) 604-1791</t>
  </si>
  <si>
    <t>Chicago</t>
  </si>
  <si>
    <t>Midwest</t>
  </si>
  <si>
    <t>Emily Johnson</t>
  </si>
  <si>
    <t>emily.johnson@example.com</t>
  </si>
  <si>
    <t>New York</t>
  </si>
  <si>
    <t>Northeast</t>
  </si>
  <si>
    <t>Michael Williams</t>
  </si>
  <si>
    <t>michael.williams@example.com</t>
  </si>
  <si>
    <t>(289) 644-7851</t>
  </si>
  <si>
    <t>Sarah Brown</t>
  </si>
  <si>
    <t>sarah.brown@example.com</t>
  </si>
  <si>
    <t>(261) 779-3028</t>
  </si>
  <si>
    <t>Los Angeles</t>
  </si>
  <si>
    <t>West</t>
  </si>
  <si>
    <t>David Jones</t>
  </si>
  <si>
    <t>david.jones@example.com</t>
  </si>
  <si>
    <t>(264) 790-7499</t>
  </si>
  <si>
    <t>Jessica Garcia</t>
  </si>
  <si>
    <t>jessica.garcia@example.com</t>
  </si>
  <si>
    <t>South</t>
  </si>
  <si>
    <t>Daniel Miller</t>
  </si>
  <si>
    <t>daniel.miller@example.com</t>
  </si>
  <si>
    <t>Ashley Davis</t>
  </si>
  <si>
    <t>ashley.davis@example.com</t>
  </si>
  <si>
    <t>(899) 385-2688</t>
  </si>
  <si>
    <t>Matthew Rodriguez</t>
  </si>
  <si>
    <t>matthew.rodriguez@example.com</t>
  </si>
  <si>
    <t>(265) 777-1976</t>
  </si>
  <si>
    <t>Amanda Martinez</t>
  </si>
  <si>
    <t>amanda.martinez@example.com</t>
  </si>
  <si>
    <t>(522) 676-8424</t>
  </si>
  <si>
    <t>Christopher Hernandez</t>
  </si>
  <si>
    <t>christopher.hernandez@example.com</t>
  </si>
  <si>
    <t>(916) 998-4999</t>
  </si>
  <si>
    <t>Jennifer Lopez</t>
  </si>
  <si>
    <t>jennifer.lopez@example.com</t>
  </si>
  <si>
    <t>(552) 946-8353</t>
  </si>
  <si>
    <t>Atlanta</t>
  </si>
  <si>
    <t>Andrew Wilson</t>
  </si>
  <si>
    <t>Megan Anderson</t>
  </si>
  <si>
    <t>megan.anderson@example.com</t>
  </si>
  <si>
    <t>(701) 631-1642</t>
  </si>
  <si>
    <t>Joshua Thomas</t>
  </si>
  <si>
    <t>joshua.thomas@example.com</t>
  </si>
  <si>
    <t>(522) 548-6737</t>
  </si>
  <si>
    <t>Denver</t>
  </si>
  <si>
    <t>Lauren Taylor</t>
  </si>
  <si>
    <t>lauren.taylor@example.com</t>
  </si>
  <si>
    <t>(296) 476-8767</t>
  </si>
  <si>
    <t>Ryan Moore</t>
  </si>
  <si>
    <t>ryan.moore@example.com</t>
  </si>
  <si>
    <t>(863) 791-8301</t>
  </si>
  <si>
    <t>Rachel Jackson</t>
  </si>
  <si>
    <t>rachel.jackson@example.com</t>
  </si>
  <si>
    <t>(556) 223-8564</t>
  </si>
  <si>
    <t>Brandon Martin</t>
  </si>
  <si>
    <t>brandon.martin@example.com</t>
  </si>
  <si>
    <t>Stephanie Lee</t>
  </si>
  <si>
    <t>stephanie.lee@example.com</t>
  </si>
  <si>
    <t>(957) 453-7519</t>
  </si>
  <si>
    <t>Boston</t>
  </si>
  <si>
    <t>Tyler Thompson</t>
  </si>
  <si>
    <t>tyler.thompson@example.com</t>
  </si>
  <si>
    <t>(371) 659-7580</t>
  </si>
  <si>
    <t>Nicole White</t>
  </si>
  <si>
    <t>nicole.white@example.com</t>
  </si>
  <si>
    <t>(764) 485-7804</t>
  </si>
  <si>
    <t>Seattle</t>
  </si>
  <si>
    <t>Kevin Harris</t>
  </si>
  <si>
    <t>kevin.harris@example.com</t>
  </si>
  <si>
    <t>(437) 354-2359</t>
  </si>
  <si>
    <t>Elizabeth Clark</t>
  </si>
  <si>
    <t>elizabeth.clark@example.com</t>
  </si>
  <si>
    <t>(213) 696-3987</t>
  </si>
  <si>
    <t>Jacob Lewis</t>
  </si>
  <si>
    <t>jacob.lewis@example.com</t>
  </si>
  <si>
    <t>Samantha Robinson</t>
  </si>
  <si>
    <t>samantha.robinson@example.com</t>
  </si>
  <si>
    <t>(329) 907-9445</t>
  </si>
  <si>
    <t>Justin Walker</t>
  </si>
  <si>
    <t>justin.walker@example.com</t>
  </si>
  <si>
    <t>(897) 772-7428</t>
  </si>
  <si>
    <t>Hannah Young</t>
  </si>
  <si>
    <t>Nathan Allen</t>
  </si>
  <si>
    <t>nathan.allen@example.com</t>
  </si>
  <si>
    <t>Olivia King</t>
  </si>
  <si>
    <t>olivia.king@example.com</t>
  </si>
  <si>
    <t>Zachary Wright</t>
  </si>
  <si>
    <t>zachary.wright@example.com</t>
  </si>
  <si>
    <t>(750) 303-6957</t>
  </si>
  <si>
    <t>Brittany Scott</t>
  </si>
  <si>
    <t>brittany.scott@example.com</t>
  </si>
  <si>
    <t>(586) 352-5132</t>
  </si>
  <si>
    <t>Ethan Green</t>
  </si>
  <si>
    <t>ethan.green@example.com</t>
  </si>
  <si>
    <t>(319) 699-8634</t>
  </si>
  <si>
    <t>Kayla Baker</t>
  </si>
  <si>
    <t>kayla.baker@example.com</t>
  </si>
  <si>
    <t>Aaron Adams</t>
  </si>
  <si>
    <t>aaron.adams@example.com</t>
  </si>
  <si>
    <t>(691) 908-3645</t>
  </si>
  <si>
    <t>Victoria Nelson</t>
  </si>
  <si>
    <t>victoria.nelson@example.com</t>
  </si>
  <si>
    <t>(571) 350-9899</t>
  </si>
  <si>
    <t>C137</t>
  </si>
  <si>
    <t>Nicholas Hill</t>
  </si>
  <si>
    <t>nicholas.hill@example.com</t>
  </si>
  <si>
    <t>(859) 293-5278</t>
  </si>
  <si>
    <t>Rebecca Campbell</t>
  </si>
  <si>
    <t>rebecca.campbell@example.com</t>
  </si>
  <si>
    <t>(429) 745-9873</t>
  </si>
  <si>
    <t>Benjamin Mitchell</t>
  </si>
  <si>
    <t>benjamin.mitchell@example.com</t>
  </si>
  <si>
    <t>(977) 399-4922</t>
  </si>
  <si>
    <t>Alexis Carter</t>
  </si>
  <si>
    <t>alexis.carter@example.com</t>
  </si>
  <si>
    <t>(731) 704-6825</t>
  </si>
  <si>
    <t>Unit Price</t>
  </si>
  <si>
    <t>Unit Cost</t>
  </si>
  <si>
    <t>Profit Margin</t>
  </si>
  <si>
    <t>Total</t>
  </si>
  <si>
    <t>Closed Sales Total</t>
  </si>
  <si>
    <t>First Name</t>
  </si>
  <si>
    <t>Last Name</t>
  </si>
  <si>
    <t>Dallas</t>
  </si>
  <si>
    <t>Month</t>
  </si>
  <si>
    <t>Grand Total</t>
  </si>
  <si>
    <t>Total Revenue</t>
  </si>
  <si>
    <t>Total Revenue by Region and Month</t>
  </si>
  <si>
    <t>5% Price Increase Sensitivity</t>
  </si>
  <si>
    <t>Assumes quantities and product mix remain unchanged.</t>
  </si>
  <si>
    <t>Price Increase</t>
  </si>
  <si>
    <t>Metric</t>
  </si>
  <si>
    <t>Baseline</t>
  </si>
  <si>
    <t>With Price Increase</t>
  </si>
  <si>
    <t>Impact</t>
  </si>
  <si>
    <t>Total Cost</t>
  </si>
  <si>
    <t>Total Profit</t>
  </si>
  <si>
    <t>Current Unit Price</t>
  </si>
  <si>
    <t>Price +5%</t>
  </si>
  <si>
    <t>Units Sold</t>
  </si>
  <si>
    <t>Baseline Revenue</t>
  </si>
  <si>
    <t>Projected Revenue</t>
  </si>
  <si>
    <t>Revenue Impact</t>
  </si>
  <si>
    <t>2025 Sales by Region</t>
  </si>
  <si>
    <t>Monthly Sales: 2025 vs 2024</t>
  </si>
  <si>
    <t>Year-over-year comparison using Sales revenue for the same calendar month</t>
  </si>
  <si>
    <t>2024 Sales</t>
  </si>
  <si>
    <t>2025 Sales</t>
  </si>
  <si>
    <t>YoY Change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</si>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</sst>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mm/dd/yyyy"/>
    <numFmt numFmtId="165" formatCode="\$#,##0"/>
    <numFmt numFmtId="166" formatCode="0.0%"/>
    <numFmt numFmtId="167" formatCode="&quot;$&quot;#,##0"/>
    <numFmt numFmtId="168" formatCode="mmm\ yyyy"/>
    <numFmt numFmtId="169" formatCode="&quot;$&quot;#,##0.00"/>
    <numFmt numFmtId="170" formatCode="0.0%;[Red]\-0.0%"/>
  </numFmts>
  <fonts count="19" x14ac:knownFonts="1">
    <font>
      <sz val="11"/>
      <color theme="1"/>
      <name val="Calibri"/>
      <family val="2"/>
      <charset val="1"/>
    </font>
    <font>
      <b/>
      <sz val="10"/>
      <name val="Arial"/>
      <charset val="1"/>
    </font>
    <font>
      <sz val="10"/>
      <name val="Arial"/>
      <charset val="1"/>
    </font>
    <font>
      <sz val="10"/>
      <name val="Arial"/>
      <family val="2"/>
    </font>
    <font>
      <b/>
      <sz val="11"/>
      <color theme="1"/>
      <name val="Calibri"/>
      <family val="2"/>
      <charset val="1"/>
    </font>
    <font>
      <b/>
      <sz val="16"/>
      <color rgb="FF1F4E78"/>
      <name val="Calibri"/>
      <family val="2"/>
      <charset val="1"/>
    </font>
    <font>
      <sz val="11"/>
      <color theme="1"/>
      <name val="Aptos"/>
    </font>
    <font>
      <b/>
      <sz val="11"/>
      <color rgb="FFFFFFFF"/>
      <name val="Aptos"/>
    </font>
    <font>
      <b/>
      <sz val="18"/>
      <color rgb="FFFFFFFF"/>
      <name val="Aptos"/>
    </font>
    <font>
      <sz val="11"/>
      <color rgb="FF666666"/>
      <name val="Aptos"/>
    </font>
    <font>
      <b/>
      <sz val="11"/>
      <color theme="1"/>
      <name val="Aptos"/>
    </font>
    <font>
      <b/>
      <sz val="11"/>
      <color rgb="FFFFFFFF"/>
      <name val="Calibri"/>
      <family val="2"/>
      <charset val="1"/>
    </font>
    <font>
      <b/>
      <sz val="18"/>
      <color rgb="FFFFFFFF"/>
      <name val="Calibri"/>
      <family val="2"/>
      <charset val="1"/>
    </font>
    <font>
      <b/>
      <sz val="10"/>
      <color rgb="FF1F4E79"/>
      <name val="Segoe UI"/>
    </font>
    <font>
      <sz val="11"/>
      <color theme="1"/>
      <name val="Segoe UI"/>
    </font>
    <font>
      <sz val="10"/>
      <color rgb="FF1F2937"/>
      <name val="Segoe UI"/>
    </font>
    <font>
      <b/>
      <sz val="11"/>
      <color rgb="FF1F2937"/>
      <name val="Segoe UI"/>
    </font>
    <font>
      <b/>
      <sz val="10"/>
      <color rgb="FF1F2937"/>
      <name val="Segoe UI"/>
    </font>
    <font>
      <i/>
      <sz val="11"/>
      <color rgb="FF5B6573"/>
      <name val="Aptos"/>
    </font>
  </fonts>
  <fills count="10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BE7B2"/>
        <bgColor indexed="64"/>
      </patternFill>
    </fill>
    <fill>
      <patternFill patternType="solid">
        <fgColor rgb="FFF6F9FC"/>
        <bgColor indexed="64"/>
      </patternFill>
    </fill>
    <fill>
      <patternFill patternType="solid">
        <fgColor rgb="FF2F75B5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F2A900"/>
      </top>
      <bottom/>
      <diagonal/>
    </border>
    <border>
      <left/>
      <right/>
      <top/>
      <bottom style="medium">
        <color rgb="FFF2A900"/>
      </bottom>
      <diagonal/>
    </border>
    <border>
      <left/>
      <right/>
      <top/>
      <bottom style="thin">
        <color rgb="FFD9E1F2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165" fontId="2" fillId="0" borderId="0" xfId="0" applyNumberFormat="1" applyFont="1"/>
    <xf numFmtId="167" fontId="0" fillId="0" borderId="0" xfId="0" applyNumberFormat="1"/>
    <xf numFmtId="0" fontId="4" fillId="0" borderId="0" xfId="0" applyFont="1"/>
    <xf numFmtId="0" fontId="0" fillId="0" borderId="0" xfId="0" pivotButton="1"/>
    <xf numFmtId="168" fontId="0" fillId="0" borderId="0" xfId="0" applyNumberFormat="1"/>
    <xf numFmtId="165" fontId="0" fillId="0" borderId="0" xfId="0" applyNumberFormat="1"/>
    <xf numFmtId="0" fontId="5" fillId="0" borderId="0" xfId="0" applyFont="1"/>
    <xf numFmtId="0" fontId="6" fillId="0" borderId="0" xfId="0" applyFont="1"/>
    <xf numFmtId="0" fontId="10" fillId="3" borderId="0" xfId="0" applyFont="1" applyFill="1"/>
    <xf numFmtId="0" fontId="7" fillId="4" borderId="0" xfId="0" applyFont="1" applyFill="1"/>
    <xf numFmtId="166" fontId="10" fillId="3" borderId="0" xfId="0" applyNumberFormat="1" applyFont="1" applyFill="1"/>
    <xf numFmtId="167" fontId="6" fillId="0" borderId="0" xfId="0" applyNumberFormat="1" applyFont="1"/>
    <xf numFmtId="167" fontId="10" fillId="5" borderId="0" xfId="0" applyNumberFormat="1" applyFont="1" applyFill="1"/>
    <xf numFmtId="166" fontId="6" fillId="0" borderId="0" xfId="0" applyNumberFormat="1" applyFont="1"/>
    <xf numFmtId="166" fontId="10" fillId="5" borderId="0" xfId="0" applyNumberFormat="1" applyFont="1" applyFill="1"/>
    <xf numFmtId="169" fontId="6" fillId="0" borderId="0" xfId="0" applyNumberFormat="1" applyFont="1"/>
    <xf numFmtId="3" fontId="6" fillId="0" borderId="0" xfId="0" applyNumberFormat="1" applyFont="1"/>
    <xf numFmtId="3" fontId="10" fillId="3" borderId="0" xfId="0" applyNumberFormat="1" applyFont="1" applyFill="1"/>
    <xf numFmtId="167" fontId="10" fillId="3" borderId="0" xfId="0" applyNumberFormat="1" applyFont="1" applyFill="1"/>
    <xf numFmtId="0" fontId="11" fillId="4" borderId="0" xfId="0" applyFont="1" applyFill="1"/>
    <xf numFmtId="0" fontId="13" fillId="7" borderId="2" xfId="0" applyFont="1" applyFill="1" applyBorder="1"/>
    <xf numFmtId="0" fontId="14" fillId="6" borderId="0" xfId="0" applyFont="1" applyFill="1"/>
    <xf numFmtId="0" fontId="15" fillId="6" borderId="0" xfId="0" applyFont="1" applyFill="1"/>
    <xf numFmtId="164" fontId="15" fillId="6" borderId="0" xfId="0" applyNumberFormat="1" applyFont="1" applyFill="1"/>
    <xf numFmtId="165" fontId="15" fillId="6" borderId="0" xfId="0" applyNumberFormat="1" applyFont="1" applyFill="1"/>
    <xf numFmtId="166" fontId="15" fillId="6" borderId="0" xfId="0" applyNumberFormat="1" applyFont="1" applyFill="1"/>
    <xf numFmtId="168" fontId="15" fillId="6" borderId="0" xfId="0" applyNumberFormat="1" applyFont="1" applyFill="1"/>
    <xf numFmtId="0" fontId="15" fillId="8" borderId="0" xfId="0" applyFont="1" applyFill="1"/>
    <xf numFmtId="164" fontId="15" fillId="8" borderId="0" xfId="0" applyNumberFormat="1" applyFont="1" applyFill="1"/>
    <xf numFmtId="165" fontId="15" fillId="8" borderId="0" xfId="0" applyNumberFormat="1" applyFont="1" applyFill="1"/>
    <xf numFmtId="166" fontId="15" fillId="8" borderId="0" xfId="0" applyNumberFormat="1" applyFont="1" applyFill="1"/>
    <xf numFmtId="168" fontId="15" fillId="8" borderId="0" xfId="0" applyNumberFormat="1" applyFont="1" applyFill="1"/>
    <xf numFmtId="0" fontId="16" fillId="8" borderId="1" xfId="0" applyFont="1" applyFill="1" applyBorder="1"/>
    <xf numFmtId="167" fontId="16" fillId="8" borderId="1" xfId="0" applyNumberFormat="1" applyFont="1" applyFill="1" applyBorder="1"/>
    <xf numFmtId="0" fontId="17" fillId="8" borderId="1" xfId="0" applyFont="1" applyFill="1" applyBorder="1"/>
    <xf numFmtId="165" fontId="4" fillId="0" borderId="0" xfId="0" applyNumberFormat="1" applyFont="1"/>
    <xf numFmtId="168" fontId="4" fillId="0" borderId="0" xfId="0" applyNumberFormat="1" applyFont="1"/>
    <xf numFmtId="0" fontId="8" fillId="2" borderId="0" xfId="0" applyFont="1" applyFill="1"/>
    <xf numFmtId="0" fontId="9" fillId="0" borderId="0" xfId="0" applyFont="1"/>
    <xf numFmtId="0" fontId="12" fillId="2" borderId="0" xfId="0" applyFont="1" applyFill="1"/>
    <xf numFmtId="0" fontId="18" fillId="0" borderId="0" xfId="0" applyFont="1"/>
    <xf numFmtId="0" fontId="7" fillId="9" borderId="0" xfId="0" applyFont="1" applyFill="1" applyBorder="1"/>
    <xf numFmtId="0" fontId="6" fillId="0" borderId="0" xfId="0" applyFont="1" applyBorder="1" applyAlignment="1">
      <alignment horizontal="left"/>
    </xf>
    <xf numFmtId="167" fontId="6" fillId="0" borderId="0" xfId="0" applyNumberFormat="1" applyFont="1" applyBorder="1" applyAlignment="1">
      <alignment horizontal="right"/>
    </xf>
    <xf numFmtId="170" fontId="6" fillId="0" borderId="0" xfId="0" applyNumberFormat="1" applyFont="1" applyBorder="1" applyAlignment="1">
      <alignment horizontal="right"/>
    </xf>
    <xf numFmtId="0" fontId="10" fillId="3" borderId="3" xfId="0" applyFont="1" applyFill="1" applyBorder="1" applyAlignment="1">
      <alignment horizontal="left"/>
    </xf>
    <xf numFmtId="167" fontId="10" fillId="3" borderId="3" xfId="0" applyNumberFormat="1" applyFont="1" applyFill="1" applyBorder="1" applyAlignment="1">
      <alignment horizontal="right"/>
    </xf>
    <xf numFmtId="170" fontId="10" fillId="3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36">
    <dxf>
      <font>
        <color rgb="FF9C0006"/>
      </font>
      <fill>
        <patternFill patternType="solid">
          <fgColor indexed="64"/>
          <bgColor rgb="FFFFC7CE"/>
        </patternFill>
      </fill>
    </dxf>
    <dxf>
      <font>
        <b/>
      </font>
    </dxf>
    <dxf>
      <font>
        <b/>
      </font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</dxf>
    <dxf>
      <font>
        <b/>
        <color rgb="FF1F2937"/>
        <name val="Segoe UI"/>
      </font>
      <fill>
        <patternFill patternType="solid">
          <fgColor indexed="64"/>
          <bgColor rgb="FFF6F9F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F2937"/>
        <name val="Segoe UI"/>
        <scheme val="none"/>
      </font>
      <numFmt numFmtId="168" formatCode="mmm\ yyyy"/>
      <fill>
        <patternFill patternType="solid">
          <fgColor indexed="64"/>
          <bgColor rgb="FFFFFFFF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1F2937"/>
        <name val="Segoe UI"/>
        <scheme val="none"/>
      </font>
      <fill>
        <patternFill patternType="solid">
          <fgColor indexed="64"/>
          <bgColor rgb="FFF6F9F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F2937"/>
        <name val="Segoe UI"/>
        <scheme val="none"/>
      </font>
      <numFmt numFmtId="166" formatCode="0.0%"/>
      <fill>
        <patternFill patternType="solid">
          <fgColor indexed="64"/>
          <bgColor rgb="FFFFFFFF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1F2937"/>
        <name val="Segoe UI"/>
        <scheme val="none"/>
      </font>
      <fill>
        <patternFill patternType="solid">
          <fgColor indexed="64"/>
          <bgColor rgb="FFF6F9F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F2937"/>
        <name val="Segoe UI"/>
        <scheme val="none"/>
      </font>
      <numFmt numFmtId="166" formatCode="0.0%"/>
      <fill>
        <patternFill patternType="solid">
          <fgColor indexed="64"/>
          <bgColor rgb="FFFFFFFF"/>
        </patternFill>
      </fill>
    </dxf>
    <dxf>
      <font>
        <b/>
        <color rgb="FF1F2937"/>
        <name val="Segoe UI"/>
      </font>
      <fill>
        <patternFill patternType="solid">
          <fgColor indexed="64"/>
          <bgColor rgb="FFF6F9FC"/>
        </patternFill>
      </fill>
    </dxf>
    <dxf>
      <font>
        <color rgb="FF1F2937"/>
        <name val="Segoe UI"/>
      </font>
      <fill>
        <patternFill patternType="solid">
          <fgColor indexed="64"/>
          <bgColor rgb="FFFFFFFF"/>
        </patternFill>
      </fill>
    </dxf>
    <dxf>
      <font>
        <b/>
        <color rgb="FF1F2937"/>
        <name val="Segoe UI"/>
      </font>
      <fill>
        <patternFill patternType="solid">
          <fgColor indexed="64"/>
          <bgColor rgb="FFF6F9FC"/>
        </patternFill>
      </fill>
    </dxf>
    <dxf>
      <font>
        <color rgb="FF1F2937"/>
        <name val="Segoe UI"/>
      </font>
      <fill>
        <patternFill patternType="solid">
          <fgColor indexed="64"/>
          <bgColor rgb="FFFFFFFF"/>
        </patternFill>
      </fill>
    </dxf>
    <dxf>
      <font>
        <b/>
        <color rgb="FF1F2937"/>
        <name val="Segoe UI"/>
      </font>
      <fill>
        <patternFill patternType="solid">
          <fgColor indexed="64"/>
          <bgColor rgb="FFF6F9FC"/>
        </patternFill>
      </fill>
    </dxf>
    <dxf>
      <font>
        <color rgb="FF1F2937"/>
        <name val="Segoe UI"/>
      </font>
      <fill>
        <patternFill patternType="solid">
          <fgColor indexed="64"/>
          <bgColor rgb="FFFFFFFF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2937"/>
        <name val="Segoe UI"/>
        <scheme val="none"/>
      </font>
      <numFmt numFmtId="167" formatCode="&quot;$&quot;#,##0"/>
      <fill>
        <patternFill patternType="solid">
          <fgColor indexed="64"/>
          <bgColor rgb="FFF6F9FC"/>
        </patternFill>
      </fill>
    </dxf>
    <dxf>
      <font>
        <color rgb="FF1F2937"/>
        <name val="Segoe UI"/>
      </font>
      <fill>
        <patternFill patternType="solid">
          <fgColor indexed="64"/>
          <bgColor rgb="FFFFFFFF"/>
        </patternFill>
      </fill>
    </dxf>
    <dxf>
      <font>
        <b/>
        <color rgb="FF1F2937"/>
        <name val="Segoe UI"/>
      </font>
      <fill>
        <patternFill patternType="solid">
          <fgColor indexed="64"/>
          <bgColor rgb="FFF6F9FC"/>
        </patternFill>
      </fill>
    </dxf>
    <dxf>
      <font>
        <color rgb="FF1F2937"/>
        <name val="Segoe UI"/>
      </font>
      <fill>
        <patternFill patternType="solid">
          <fgColor indexed="64"/>
          <bgColor rgb="FFFFFFFF"/>
        </patternFill>
      </fill>
    </dxf>
    <dxf>
      <font>
        <b/>
        <color rgb="FF1F2937"/>
        <name val="Segoe UI"/>
      </font>
      <fill>
        <patternFill patternType="solid">
          <fgColor indexed="64"/>
          <bgColor rgb="FFF6F9FC"/>
        </patternFill>
      </fill>
    </dxf>
    <dxf>
      <font>
        <color rgb="FF1F2937"/>
        <name val="Segoe UI"/>
      </font>
      <fill>
        <patternFill patternType="solid">
          <fgColor indexed="64"/>
          <bgColor rgb="FFFFFFFF"/>
        </patternFill>
      </fill>
    </dxf>
    <dxf>
      <font>
        <b/>
        <color rgb="FF1F2937"/>
        <name val="Segoe UI"/>
      </font>
      <fill>
        <patternFill patternType="solid">
          <fgColor indexed="64"/>
          <bgColor rgb="FFF6F9FC"/>
        </patternFill>
      </fill>
    </dxf>
    <dxf>
      <font>
        <color rgb="FF1F2937"/>
        <name val="Segoe UI"/>
      </font>
      <fill>
        <patternFill patternType="solid">
          <fgColor indexed="64"/>
          <bgColor rgb="FFFFFFFF"/>
        </patternFill>
      </fill>
    </dxf>
    <dxf>
      <font>
        <b/>
        <color rgb="FF1F2937"/>
        <name val="Segoe UI"/>
      </font>
      <fill>
        <patternFill patternType="solid">
          <fgColor indexed="64"/>
          <bgColor rgb="FFF6F9FC"/>
        </patternFill>
      </fill>
    </dxf>
    <dxf>
      <font>
        <color rgb="FF1F2937"/>
        <name val="Segoe UI"/>
      </font>
      <fill>
        <patternFill patternType="solid">
          <fgColor indexed="64"/>
          <bgColor rgb="FFFFFFFF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2937"/>
        <name val="Segoe UI"/>
        <scheme val="none"/>
      </font>
      <fill>
        <patternFill patternType="solid">
          <fgColor indexed="64"/>
          <bgColor rgb="FFF6F9FC"/>
        </patternFill>
      </fill>
    </dxf>
    <dxf>
      <font>
        <color rgb="FF1F2937"/>
        <name val="Segoe UI"/>
      </font>
      <fill>
        <patternFill patternType="solid">
          <fgColor indexed="64"/>
          <bgColor rgb="FFFFFFFF"/>
        </patternFill>
      </fill>
    </dxf>
    <dxf>
      <border>
        <top style="medium">
          <color rgb="FFF2A900"/>
        </top>
      </border>
    </dxf>
    <dxf>
      <font>
        <b/>
        <color rgb="FF1F2937"/>
        <name val="Segoe UI"/>
      </font>
      <fill>
        <patternFill patternType="solid">
          <fgColor indexed="64"/>
          <bgColor rgb="FFF6F9FC"/>
        </patternFill>
      </fill>
    </dxf>
    <dxf>
      <border diagonalUp="0" diagonalDown="0">
        <left style="thin">
          <color rgb="FFD4DEE8"/>
        </left>
        <right style="thin">
          <color rgb="FFD4DEE8"/>
        </right>
        <top style="thin">
          <color rgb="FFD4DEE8"/>
        </top>
        <bottom style="thin">
          <color rgb="FFD4DEE8"/>
        </bottom>
      </border>
    </dxf>
    <dxf>
      <font>
        <color rgb="FF1F2937"/>
        <name val="Segoe UI"/>
      </font>
      <fill>
        <patternFill patternType="solid">
          <fgColor indexed="64"/>
          <bgColor rgb="FFFFFFFF"/>
        </patternFill>
      </fill>
    </dxf>
    <dxf>
      <border>
        <bottom style="medium">
          <color rgb="FFF2A900"/>
        </bottom>
      </border>
    </dxf>
    <dxf>
      <font>
        <b/>
        <color rgb="FF1F4E79"/>
        <name val="Segoe UI"/>
      </font>
      <fill>
        <patternFill patternType="solid">
          <fgColor indexed="64"/>
          <bgColor rgb="FFFBE7B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2025 Revenue by Region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'2025 Region Chart'!$B$3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'2025 Region Chart'!$A$4:$A$7</c:f>
              <c:strCache>
                <c:ptCount val="4"/>
                <c:pt idx="0">
                  <c:v>Northeast</c:v>
                </c:pt>
                <c:pt idx="1">
                  <c:v>West</c:v>
                </c:pt>
                <c:pt idx="2">
                  <c:v>South</c:v>
                </c:pt>
                <c:pt idx="3">
                  <c:v>Midwest</c:v>
                </c:pt>
              </c:strCache>
            </c:strRef>
          </c:cat>
          <c:val>
            <c:numRef>
              <c:f>'2025 Region Chart'!$B$4:$B$7</c:f>
              <c:numCache>
                <c:formatCode>"$"#,##0</c:formatCode>
                <c:ptCount val="4"/>
                <c:pt idx="0">
                  <c:v>1674200</c:v>
                </c:pt>
                <c:pt idx="1">
                  <c:v>1246950</c:v>
                </c:pt>
                <c:pt idx="2">
                  <c:v>529900</c:v>
                </c:pt>
                <c:pt idx="3">
                  <c:v>478550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DA-40F9-ADA9-9940672BE4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43826271"/>
        <c:axId val="1108985103"/>
      </c:barChart>
      <c:catAx>
        <c:axId val="14438262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8985103"/>
        <c:crosses val="autoZero"/>
        <c:auto val="1"/>
        <c:lblAlgn val="ctr"/>
        <c:lblOffset val="100"/>
        <c:noMultiLvlLbl val="0"/>
      </c:catAx>
      <c:valAx>
        <c:axId val="1108985103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43826271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12</xdr:col>
      <xdr:colOff>0</xdr:colOff>
      <xdr:row>20</xdr:row>
      <xdr:rowOff>0</xdr:rowOff>
    </xdr:to>
    <xdr:graphicFrame macro="">
      <xdr:nvGraphicFramePr>
        <xdr:cNvPr id="2" name="SalesByRegion2025">
          <a:extLst>
            <a:ext uri="{FF2B5EF4-FFF2-40B4-BE49-F238E27FC236}">
              <a16:creationId xmlns:a16="http://schemas.microsoft.com/office/drawing/2014/main" id="{B856D1E8-41BB-8A4D-7976-11191CEBC5D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iti Lundia" refreshedDate="46268.976279166665" createdVersion="8" refreshedVersion="8" minRefreshableVersion="3" recordCount="205" xr:uid="{008A27C8-9C92-4DEF-87F8-CA2CA0B1992C}">
  <cacheSource type="worksheet">
    <worksheetSource name="Sales"/>
  </cacheSource>
  <cacheFields count="12">
    <cacheField name="Order ID" numFmtId="0">
      <sharedItems/>
    </cacheField>
    <cacheField name="Date" numFmtId="164">
      <sharedItems containsSemiMixedTypes="0" containsNonDate="0" containsDate="1" containsString="0" minDate="2024-01-03T00:00:00" maxDate="2025-12-29T00:00:00"/>
    </cacheField>
    <cacheField name="Customer ID" numFmtId="0">
      <sharedItems/>
    </cacheField>
    <cacheField name="Product" numFmtId="0">
      <sharedItems/>
    </cacheField>
    <cacheField name="Quantity" numFmtId="0">
      <sharedItems containsSemiMixedTypes="0" containsString="0" containsNumber="1" containsInteger="1" minValue="2" maxValue="60"/>
    </cacheField>
    <cacheField name="Revenue" numFmtId="165">
      <sharedItems containsSemiMixedTypes="0" containsString="0" containsNumber="1" containsInteger="1" minValue="1800" maxValue="114000"/>
    </cacheField>
    <cacheField name="Cost" numFmtId="165">
      <sharedItems containsSemiMixedTypes="0" containsString="0" containsNumber="1" containsInteger="1" minValue="1256" maxValue="89746"/>
    </cacheField>
    <cacheField name="Customer Name" numFmtId="0">
      <sharedItems/>
    </cacheField>
    <cacheField name="Status" numFmtId="0">
      <sharedItems/>
    </cacheField>
    <cacheField name="Profit Margin" numFmtId="166">
      <sharedItems containsSemiMixedTypes="0" containsString="0" containsNumber="1" minValue="0.21275438596491228" maxValue="0.32789115646258504"/>
    </cacheField>
    <cacheField name="Region" numFmtId="166">
      <sharedItems count="4">
        <s v="Northeast"/>
        <s v="West"/>
        <s v="South"/>
        <s v="Midwest"/>
      </sharedItems>
    </cacheField>
    <cacheField name="Month" numFmtId="168">
      <sharedItems containsSemiMixedTypes="0" containsNonDate="0" containsDate="1" containsString="0" minDate="2024-01-01T00:00:00" maxDate="2025-12-02T00:00:00" count="24">
        <d v="2024-01-01T00:00:00"/>
        <d v="2025-12-01T00:00:00"/>
        <d v="2024-02-01T00:00:00"/>
        <d v="2024-03-01T00:00:00"/>
        <d v="2025-11-01T00:00:00"/>
        <d v="2025-10-01T00:00:00"/>
        <d v="2024-04-01T00:00:00"/>
        <d v="2024-05-01T00:00:00"/>
        <d v="2025-09-01T00:00:00"/>
        <d v="2025-08-01T00:00:00"/>
        <d v="2024-06-01T00:00:00"/>
        <d v="2025-06-01T00:00:00"/>
        <d v="2024-07-01T00:00:00"/>
        <d v="2025-05-01T00:00:00"/>
        <d v="2024-08-01T00:00:00"/>
        <d v="2024-09-01T00:00:00"/>
        <d v="2025-04-01T00:00:00"/>
        <d v="2025-03-01T00:00:00"/>
        <d v="2024-10-01T00:00:00"/>
        <d v="2025-02-01T00:00:00"/>
        <d v="2024-11-01T00:00:00"/>
        <d v="2025-01-01T00:00:00"/>
        <d v="2024-12-01T00:00:00"/>
        <d v="2025-07-01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5">
  <r>
    <s v="ORD-0001"/>
    <d v="2024-01-03T00:00:00"/>
    <s v="C105"/>
    <s v="Tablet 11"/>
    <n v="15"/>
    <n v="12750"/>
    <n v="9101"/>
    <s v="David Jones"/>
    <s v="Open"/>
    <n v="0.28619607843137257"/>
    <x v="0"/>
    <x v="0"/>
  </r>
  <r>
    <s v="ORD-0002"/>
    <d v="2024-01-04T00:00:00"/>
    <s v="C131"/>
    <s v="Desktop Tower"/>
    <n v="17"/>
    <n v="20400"/>
    <n v="14832"/>
    <s v="Zachary Wright"/>
    <s v="Closed"/>
    <n v="0.27294117647058824"/>
    <x v="0"/>
    <x v="0"/>
  </r>
  <r>
    <s v="ORD-0203"/>
    <d v="2025-12-13T00:00:00"/>
    <s v="C140"/>
    <s v="Laptop Pro 15"/>
    <n v="49"/>
    <n v="88200"/>
    <n v="65561"/>
    <s v="Alexis Carter"/>
    <s v="Closed"/>
    <n v="0.25667800453514739"/>
    <x v="0"/>
    <x v="1"/>
  </r>
  <r>
    <s v="ORD-0004"/>
    <d v="2024-01-13T00:00:00"/>
    <s v="C113"/>
    <s v="Tablet 11"/>
    <n v="35"/>
    <n v="29750"/>
    <n v="21708"/>
    <s v="Andrew Wilson"/>
    <s v="Closed"/>
    <n v="0.27031932773109246"/>
    <x v="0"/>
    <x v="0"/>
  </r>
  <r>
    <s v="ORD-0005"/>
    <d v="2024-01-14T00:00:00"/>
    <s v="C122"/>
    <s v="Tablet 11"/>
    <n v="10"/>
    <n v="8500"/>
    <n v="6342"/>
    <s v="Nicole White"/>
    <s v="Closed"/>
    <n v="0.25388235294117645"/>
    <x v="1"/>
    <x v="0"/>
  </r>
  <r>
    <s v="ORD-0006"/>
    <d v="2024-01-16T00:00:00"/>
    <s v="C113"/>
    <s v="Monitor 27"/>
    <n v="49"/>
    <n v="22050"/>
    <n v="15879"/>
    <s v="Andrew Wilson"/>
    <s v="Closed"/>
    <n v="0.2798639455782313"/>
    <x v="0"/>
    <x v="0"/>
  </r>
  <r>
    <s v="ORD-0007"/>
    <d v="2024-01-16T00:00:00"/>
    <s v="C140"/>
    <s v="Wireless Printer"/>
    <n v="58"/>
    <n v="17400"/>
    <n v="12120"/>
    <s v="Alexis Carter"/>
    <s v="Closed"/>
    <n v="0.30344827586206896"/>
    <x v="0"/>
    <x v="0"/>
  </r>
  <r>
    <s v="ORD-0008"/>
    <d v="2024-01-21T00:00:00"/>
    <s v="C106"/>
    <s v="Monitor 27"/>
    <n v="58"/>
    <n v="26100"/>
    <n v="18737"/>
    <s v="Jessica Garcia"/>
    <s v="Closed"/>
    <n v="0.28210727969348659"/>
    <x v="2"/>
    <x v="0"/>
  </r>
  <r>
    <s v="ORD-0202"/>
    <d v="2025-12-07T00:00:00"/>
    <s v="C136"/>
    <s v="Laptop Pro 15"/>
    <n v="58"/>
    <n v="104400"/>
    <n v="79268"/>
    <s v="Victoria Nelson"/>
    <s v="Open"/>
    <n v="0.240727969348659"/>
    <x v="0"/>
    <x v="1"/>
  </r>
  <r>
    <s v="ORD-0010"/>
    <d v="2024-02-05T00:00:00"/>
    <s v="C130"/>
    <s v="Wireless Printer"/>
    <n v="56"/>
    <n v="16800"/>
    <n v="12023"/>
    <s v="Olivia King"/>
    <s v="Closed"/>
    <n v="0.2843452380952381"/>
    <x v="0"/>
    <x v="2"/>
  </r>
  <r>
    <s v="ORD-0011"/>
    <d v="2024-02-05T00:00:00"/>
    <s v="C136"/>
    <s v="Wireless Printer"/>
    <n v="13"/>
    <n v="3900"/>
    <n v="2660"/>
    <s v="Victoria Nelson"/>
    <s v="Closed"/>
    <n v="0.31794871794871793"/>
    <x v="0"/>
    <x v="2"/>
  </r>
  <r>
    <s v="ORD-0012"/>
    <d v="2024-02-05T00:00:00"/>
    <s v="C113"/>
    <s v="Server Rack Unit"/>
    <n v="5"/>
    <n v="47500"/>
    <n v="34868"/>
    <s v="Andrew Wilson"/>
    <s v="Closed"/>
    <n v="0.26593684210526314"/>
    <x v="0"/>
    <x v="2"/>
  </r>
  <r>
    <s v="ORD-0013"/>
    <d v="2024-02-07T00:00:00"/>
    <s v="C133"/>
    <s v="Monitor 27"/>
    <n v="20"/>
    <n v="9000"/>
    <n v="6364"/>
    <s v="Ethan Green"/>
    <s v="Closed"/>
    <n v="0.29288888888888887"/>
    <x v="1"/>
    <x v="2"/>
  </r>
  <r>
    <s v="ORD-0014"/>
    <d v="2024-02-11T00:00:00"/>
    <s v="C135"/>
    <s v="Monitor 27"/>
    <n v="31"/>
    <n v="13950"/>
    <n v="9874"/>
    <s v="Aaron Adams"/>
    <s v="Closed"/>
    <n v="0.29218637992831542"/>
    <x v="0"/>
    <x v="2"/>
  </r>
  <r>
    <s v="ORD-0015"/>
    <d v="2024-02-20T00:00:00"/>
    <s v="C131"/>
    <s v="Wireless Printer"/>
    <n v="47"/>
    <n v="14100"/>
    <n v="9507"/>
    <s v="Zachary Wright"/>
    <s v="Closed"/>
    <n v="0.32574468085106384"/>
    <x v="0"/>
    <x v="2"/>
  </r>
  <r>
    <s v="ORD-0016"/>
    <d v="2024-02-26T00:00:00"/>
    <s v="C107"/>
    <s v="Tablet 11"/>
    <n v="38"/>
    <n v="32300"/>
    <n v="23140"/>
    <s v="Daniel Miller"/>
    <s v="Open"/>
    <n v="0.28359133126934982"/>
    <x v="3"/>
    <x v="2"/>
  </r>
  <r>
    <s v="ORD-0017"/>
    <d v="2024-03-06T00:00:00"/>
    <s v="C101"/>
    <s v="Wireless Printer"/>
    <n v="54"/>
    <n v="16200"/>
    <n v="11592"/>
    <s v="James Smith"/>
    <s v="Closed"/>
    <n v="0.28444444444444444"/>
    <x v="3"/>
    <x v="3"/>
  </r>
  <r>
    <s v="ORD-0200"/>
    <d v="2025-12-04T00:00:00"/>
    <s v="C116"/>
    <s v="Desktop Tower"/>
    <n v="51"/>
    <n v="61200"/>
    <n v="45567"/>
    <s v="Lauren Taylor"/>
    <s v="Closed"/>
    <n v="0.25544117647058823"/>
    <x v="3"/>
    <x v="1"/>
  </r>
  <r>
    <s v="ORD-0019"/>
    <d v="2024-03-17T00:00:00"/>
    <s v="C133"/>
    <s v="Server Rack Unit"/>
    <n v="4"/>
    <n v="38000"/>
    <n v="28519"/>
    <s v="Ethan Green"/>
    <s v="Cancelled"/>
    <n v="0.2495"/>
    <x v="1"/>
    <x v="3"/>
  </r>
  <r>
    <s v="ORD-0020"/>
    <d v="2024-03-17T00:00:00"/>
    <s v="C102"/>
    <s v="Wireless Printer"/>
    <n v="60"/>
    <n v="18000"/>
    <n v="12233"/>
    <s v="Emily Johnson"/>
    <s v="Open"/>
    <n v="0.32038888888888889"/>
    <x v="0"/>
    <x v="3"/>
  </r>
  <r>
    <s v="ORD-0197"/>
    <d v="2025-11-27T00:00:00"/>
    <s v="C126"/>
    <s v="Laptop Pro 15"/>
    <n v="41"/>
    <n v="73800"/>
    <n v="56294"/>
    <s v="Samantha Robinson"/>
    <s v="Closed"/>
    <n v="0.23720867208672086"/>
    <x v="0"/>
    <x v="4"/>
  </r>
  <r>
    <s v="ORD-0189"/>
    <d v="2025-10-26T00:00:00"/>
    <s v="C136"/>
    <s v="Server Rack Unit"/>
    <n v="9"/>
    <n v="85500"/>
    <n v="66091"/>
    <s v="Victoria Nelson"/>
    <s v="Closed"/>
    <n v="0.22700584795321638"/>
    <x v="0"/>
    <x v="5"/>
  </r>
  <r>
    <s v="ORD-0023"/>
    <d v="2024-03-24T00:00:00"/>
    <s v="C130"/>
    <s v="Monitor 27"/>
    <n v="47"/>
    <n v="21150"/>
    <n v="15620"/>
    <s v="Olivia King"/>
    <s v="Closed"/>
    <n v="0.26146572104018911"/>
    <x v="0"/>
    <x v="3"/>
  </r>
  <r>
    <s v="ORD-0024"/>
    <d v="2024-04-01T00:00:00"/>
    <s v="C129"/>
    <s v="Laptop Pro 15"/>
    <n v="25"/>
    <n v="45000"/>
    <n v="34983"/>
    <s v="Nathan Allen"/>
    <s v="Cancelled"/>
    <n v="0.22259999999999999"/>
    <x v="1"/>
    <x v="6"/>
  </r>
  <r>
    <s v="ORD-0183"/>
    <d v="2025-10-07T00:00:00"/>
    <s v="C124"/>
    <s v="Laptop Pro 15"/>
    <n v="37"/>
    <n v="66600"/>
    <n v="51113"/>
    <s v="Elizabeth Clark"/>
    <s v="Closed"/>
    <n v="0.23253753753753753"/>
    <x v="2"/>
    <x v="5"/>
  </r>
  <r>
    <s v="ORD-0186"/>
    <d v="2025-10-07T00:00:00"/>
    <s v="C121"/>
    <s v="Laptop Pro 15"/>
    <n v="31"/>
    <n v="55800"/>
    <n v="42197"/>
    <s v="Tyler Thompson"/>
    <s v="Closed"/>
    <n v="0.24378136200716846"/>
    <x v="2"/>
    <x v="5"/>
  </r>
  <r>
    <s v="ORD-0027"/>
    <d v="2024-04-08T00:00:00"/>
    <s v="C134"/>
    <s v="Tablet 11"/>
    <n v="21"/>
    <n v="17850"/>
    <n v="13072"/>
    <s v="Kayla Baker"/>
    <s v="Open"/>
    <n v="0.26767507002801122"/>
    <x v="3"/>
    <x v="6"/>
  </r>
  <r>
    <s v="ORD-0179"/>
    <d v="2025-10-01T00:00:00"/>
    <s v="C139"/>
    <s v="Laptop Pro 15"/>
    <n v="50"/>
    <n v="90000"/>
    <n v="67149"/>
    <s v="Benjamin Mitchell"/>
    <s v="Closed"/>
    <n v="0.25390000000000001"/>
    <x v="0"/>
    <x v="5"/>
  </r>
  <r>
    <s v="ORD-0029"/>
    <d v="2024-04-15T00:00:00"/>
    <s v="C135"/>
    <s v="Wireless Printer"/>
    <n v="56"/>
    <n v="16800"/>
    <n v="11548"/>
    <s v="Aaron Adams"/>
    <s v="Open"/>
    <n v="0.31261904761904763"/>
    <x v="0"/>
    <x v="6"/>
  </r>
  <r>
    <s v="ORD-0030"/>
    <d v="2024-04-15T00:00:00"/>
    <s v="C105"/>
    <s v="Monitor 27"/>
    <n v="47"/>
    <n v="21150"/>
    <n v="14611"/>
    <s v="David Jones"/>
    <s v="Closed"/>
    <n v="0.30917257683215132"/>
    <x v="0"/>
    <x v="6"/>
  </r>
  <r>
    <s v="ORD-0031"/>
    <d v="2024-04-17T00:00:00"/>
    <s v="C133"/>
    <s v="Wireless Printer"/>
    <n v="17"/>
    <n v="5100"/>
    <n v="3690"/>
    <s v="Ethan Green"/>
    <s v="Closed"/>
    <n v="0.27647058823529413"/>
    <x v="1"/>
    <x v="6"/>
  </r>
  <r>
    <s v="ORD-0032"/>
    <d v="2024-05-05T00:00:00"/>
    <s v="C115"/>
    <s v="Server Rack Unit"/>
    <n v="3"/>
    <n v="28500"/>
    <n v="21190"/>
    <s v="Joshua Thomas"/>
    <s v="Closed"/>
    <n v="0.25649122807017544"/>
    <x v="1"/>
    <x v="7"/>
  </r>
  <r>
    <s v="ORD-0033"/>
    <d v="2024-05-11T00:00:00"/>
    <s v="C124"/>
    <s v="Laptop Pro 15"/>
    <n v="6"/>
    <n v="10800"/>
    <n v="7983"/>
    <s v="Elizabeth Clark"/>
    <s v="Closed"/>
    <n v="0.26083333333333331"/>
    <x v="2"/>
    <x v="7"/>
  </r>
  <r>
    <s v="ORD-0176"/>
    <d v="2025-09-22T00:00:00"/>
    <s v="C135"/>
    <s v="Desktop Tower"/>
    <n v="59"/>
    <n v="70800"/>
    <n v="55064"/>
    <s v="Aaron Adams"/>
    <s v="Closed"/>
    <n v="0.22225988700564972"/>
    <x v="0"/>
    <x v="8"/>
  </r>
  <r>
    <s v="ORD-0035"/>
    <d v="2024-05-16T00:00:00"/>
    <s v="C115"/>
    <s v="Desktop Tower"/>
    <n v="15"/>
    <n v="18000"/>
    <n v="13971"/>
    <s v="Joshua Thomas"/>
    <s v="Closed"/>
    <n v="0.22383333333333333"/>
    <x v="1"/>
    <x v="7"/>
  </r>
  <r>
    <s v="ORD-0164"/>
    <d v="2025-08-14T00:00:00"/>
    <s v="C109"/>
    <s v="Server Rack Unit"/>
    <n v="9"/>
    <n v="85500"/>
    <n v="66054"/>
    <s v="Matthew Rodriguez"/>
    <s v="Closed"/>
    <n v="0.22743859649122808"/>
    <x v="1"/>
    <x v="9"/>
  </r>
  <r>
    <s v="ORD-0037"/>
    <d v="2024-05-20T00:00:00"/>
    <s v="C133"/>
    <s v="Monitor 27"/>
    <n v="9"/>
    <n v="4050"/>
    <n v="2946"/>
    <s v="Ethan Green"/>
    <s v="Closed"/>
    <n v="0.27259259259259261"/>
    <x v="1"/>
    <x v="7"/>
  </r>
  <r>
    <s v="ORD-0038"/>
    <d v="2024-05-23T00:00:00"/>
    <s v="C124"/>
    <s v="Tablet 11"/>
    <n v="14"/>
    <n v="11900"/>
    <n v="8842"/>
    <s v="Elizabeth Clark"/>
    <s v="Closed"/>
    <n v="0.2569747899159664"/>
    <x v="2"/>
    <x v="7"/>
  </r>
  <r>
    <s v="ORD-0039"/>
    <d v="2024-05-26T00:00:00"/>
    <s v="C107"/>
    <s v="Desktop Tower"/>
    <n v="10"/>
    <n v="12000"/>
    <n v="8899"/>
    <s v="Daniel Miller"/>
    <s v="Open"/>
    <n v="0.25841666666666668"/>
    <x v="3"/>
    <x v="7"/>
  </r>
  <r>
    <s v="ORD-0162"/>
    <d v="2025-08-07T00:00:00"/>
    <s v="C127"/>
    <s v="Laptop Pro 15"/>
    <n v="36"/>
    <n v="64800"/>
    <n v="47926"/>
    <s v="Justin Walker"/>
    <s v="Closed"/>
    <n v="0.26040123456790121"/>
    <x v="0"/>
    <x v="9"/>
  </r>
  <r>
    <s v="ORD-0160"/>
    <d v="2025-08-04T00:00:00"/>
    <s v="C130"/>
    <s v="Server Rack Unit"/>
    <n v="8"/>
    <n v="76000"/>
    <n v="58773"/>
    <s v="Olivia King"/>
    <s v="Open"/>
    <n v="0.22667105263157894"/>
    <x v="0"/>
    <x v="9"/>
  </r>
  <r>
    <s v="ORD-0042"/>
    <d v="2024-06-14T00:00:00"/>
    <s v="C117"/>
    <s v="Tablet 11"/>
    <n v="30"/>
    <n v="25500"/>
    <n v="19645"/>
    <s v="Ryan Moore"/>
    <s v="Closed"/>
    <n v="0.22960784313725491"/>
    <x v="2"/>
    <x v="10"/>
  </r>
  <r>
    <s v="ORD-0159"/>
    <d v="2025-08-02T00:00:00"/>
    <s v="C136"/>
    <s v="Server Rack Unit"/>
    <n v="10"/>
    <n v="95000"/>
    <n v="71775"/>
    <s v="Victoria Nelson"/>
    <s v="Closed"/>
    <n v="0.24447368421052632"/>
    <x v="0"/>
    <x v="9"/>
  </r>
  <r>
    <s v="ORD-0044"/>
    <d v="2024-06-17T00:00:00"/>
    <s v="C132"/>
    <s v="Wireless Printer"/>
    <n v="49"/>
    <n v="14700"/>
    <n v="10096"/>
    <s v="Brittany Scott"/>
    <s v="Cancelled"/>
    <n v="0.31319727891156462"/>
    <x v="1"/>
    <x v="10"/>
  </r>
  <r>
    <s v="ORD-0045"/>
    <d v="2024-06-20T00:00:00"/>
    <s v="C105"/>
    <s v="Desktop Tower"/>
    <n v="21"/>
    <n v="25200"/>
    <n v="19017"/>
    <s v="David Jones"/>
    <s v="Closed"/>
    <n v="0.24535714285714286"/>
    <x v="0"/>
    <x v="10"/>
  </r>
  <r>
    <s v="ORD-0147"/>
    <d v="2025-06-11T00:00:00"/>
    <s v="C112"/>
    <s v="Desktop Tower"/>
    <n v="46"/>
    <n v="55200"/>
    <n v="40455"/>
    <s v="Jennifer Lopez"/>
    <s v="Closed"/>
    <n v="0.26711956521739133"/>
    <x v="2"/>
    <x v="11"/>
  </r>
  <r>
    <s v="ORD-0047"/>
    <d v="2024-07-04T00:00:00"/>
    <s v="C117"/>
    <s v="Desktop Tower"/>
    <n v="8"/>
    <n v="9600"/>
    <n v="7014"/>
    <s v="Ryan Moore"/>
    <s v="Open"/>
    <n v="0.26937499999999998"/>
    <x v="2"/>
    <x v="12"/>
  </r>
  <r>
    <s v="ORD-0145"/>
    <d v="2025-06-08T00:00:00"/>
    <s v="C107"/>
    <s v="Desktop Tower"/>
    <n v="44"/>
    <n v="52800"/>
    <n v="40651"/>
    <s v="Daniel Miller"/>
    <s v="Closed"/>
    <n v="0.23009469696969698"/>
    <x v="3"/>
    <x v="11"/>
  </r>
  <r>
    <s v="ORD-0049"/>
    <d v="2024-07-10T00:00:00"/>
    <s v="C120"/>
    <s v="Tablet 11"/>
    <n v="38"/>
    <n v="32300"/>
    <n v="23468"/>
    <s v="Stephanie Lee"/>
    <s v="Closed"/>
    <n v="0.27343653250773992"/>
    <x v="0"/>
    <x v="12"/>
  </r>
  <r>
    <s v="ORD-0139"/>
    <d v="2025-05-22T00:00:00"/>
    <s v="C115"/>
    <s v="Server Rack Unit"/>
    <n v="9"/>
    <n v="85500"/>
    <n v="63091"/>
    <s v="Joshua Thomas"/>
    <s v="Closed"/>
    <n v="0.26209356725146199"/>
    <x v="1"/>
    <x v="13"/>
  </r>
  <r>
    <s v="ORD-0051"/>
    <d v="2024-07-12T00:00:00"/>
    <s v="C117"/>
    <s v="Laptop Pro 15"/>
    <n v="7"/>
    <n v="12600"/>
    <n v="9574"/>
    <s v="Ryan Moore"/>
    <s v="Closed"/>
    <n v="0.24015873015873015"/>
    <x v="2"/>
    <x v="12"/>
  </r>
  <r>
    <s v="ORD-0052"/>
    <d v="2024-07-13T00:00:00"/>
    <s v="C120"/>
    <s v="Wireless Printer"/>
    <n v="49"/>
    <n v="14700"/>
    <n v="9880"/>
    <s v="Stephanie Lee"/>
    <s v="Closed"/>
    <n v="0.32789115646258504"/>
    <x v="0"/>
    <x v="12"/>
  </r>
  <r>
    <s v="ORD-0053"/>
    <d v="2024-07-14T00:00:00"/>
    <s v="C132"/>
    <s v="Tablet 11"/>
    <n v="39"/>
    <n v="33150"/>
    <n v="23881"/>
    <s v="Brittany Scott"/>
    <s v="Closed"/>
    <n v="0.2796078431372549"/>
    <x v="1"/>
    <x v="12"/>
  </r>
  <r>
    <s v="ORD-0054"/>
    <d v="2024-07-20T00:00:00"/>
    <s v="C103"/>
    <s v="Desktop Tower"/>
    <n v="38"/>
    <n v="45600"/>
    <n v="34015"/>
    <s v="Michael Williams"/>
    <s v="Closed"/>
    <n v="0.25405701754385968"/>
    <x v="3"/>
    <x v="12"/>
  </r>
  <r>
    <s v="ORD-0055"/>
    <d v="2024-07-24T00:00:00"/>
    <s v="C136"/>
    <s v="Wireless Printer"/>
    <n v="17"/>
    <n v="5100"/>
    <n v="3683"/>
    <s v="Victoria Nelson"/>
    <s v="Closed"/>
    <n v="0.27784313725490195"/>
    <x v="0"/>
    <x v="12"/>
  </r>
  <r>
    <s v="ORD-0056"/>
    <d v="2024-08-02T00:00:00"/>
    <s v="C101"/>
    <s v="Desktop Tower"/>
    <n v="9"/>
    <n v="10800"/>
    <n v="7923"/>
    <s v="James Smith"/>
    <s v="Closed"/>
    <n v="0.2663888888888889"/>
    <x v="3"/>
    <x v="14"/>
  </r>
  <r>
    <s v="ORD-0057"/>
    <d v="2024-08-06T00:00:00"/>
    <s v="C129"/>
    <s v="Monitor 27"/>
    <n v="5"/>
    <n v="2250"/>
    <n v="1539"/>
    <s v="Nathan Allen"/>
    <s v="Closed"/>
    <n v="0.316"/>
    <x v="1"/>
    <x v="14"/>
  </r>
  <r>
    <s v="ORD-0058"/>
    <d v="2024-08-09T00:00:00"/>
    <s v="C111"/>
    <s v="Server Rack Unit"/>
    <n v="2"/>
    <n v="19000"/>
    <n v="14233"/>
    <s v="Christopher Hernandez"/>
    <s v="Closed"/>
    <n v="0.25089473684210528"/>
    <x v="3"/>
    <x v="14"/>
  </r>
  <r>
    <s v="ORD-0059"/>
    <d v="2024-08-10T00:00:00"/>
    <s v="C123"/>
    <s v="Desktop Tower"/>
    <n v="16"/>
    <n v="19200"/>
    <n v="14235"/>
    <s v="Kevin Harris"/>
    <s v="Closed"/>
    <n v="0.25859375000000001"/>
    <x v="2"/>
    <x v="14"/>
  </r>
  <r>
    <s v="ORD-0060"/>
    <d v="2024-08-11T00:00:00"/>
    <s v="C109"/>
    <s v="Desktop Tower"/>
    <n v="30"/>
    <n v="36000"/>
    <n v="27181"/>
    <s v="Matthew Rodriguez"/>
    <s v="Closed"/>
    <n v="0.24497222222222223"/>
    <x v="1"/>
    <x v="14"/>
  </r>
  <r>
    <s v="ORD-0061"/>
    <d v="2024-08-11T00:00:00"/>
    <s v="C121"/>
    <s v="Wireless Printer"/>
    <n v="20"/>
    <n v="6000"/>
    <n v="4101"/>
    <s v="Tyler Thompson"/>
    <s v="Closed"/>
    <n v="0.3165"/>
    <x v="2"/>
    <x v="14"/>
  </r>
  <r>
    <s v="ORD-0062"/>
    <d v="2024-08-20T00:00:00"/>
    <s v="C119"/>
    <s v="Desktop Tower"/>
    <n v="7"/>
    <n v="8400"/>
    <n v="6287"/>
    <s v="Brandon Martin"/>
    <s v="Closed"/>
    <n v="0.25154761904761902"/>
    <x v="0"/>
    <x v="14"/>
  </r>
  <r>
    <s v="ORD-0137"/>
    <d v="2025-05-20T00:00:00"/>
    <s v="C101"/>
    <s v="Laptop Pro 15"/>
    <n v="39"/>
    <n v="70200"/>
    <n v="51456"/>
    <s v="James Smith"/>
    <s v="Open"/>
    <n v="0.26700854700854698"/>
    <x v="3"/>
    <x v="13"/>
  </r>
  <r>
    <s v="ORD-0064"/>
    <d v="2024-09-01T00:00:00"/>
    <s v="C120"/>
    <s v="Monitor 27"/>
    <n v="45"/>
    <n v="20250"/>
    <n v="13996"/>
    <s v="Stephanie Lee"/>
    <s v="Closed"/>
    <n v="0.30883950617283951"/>
    <x v="0"/>
    <x v="15"/>
  </r>
  <r>
    <s v="ORD-0131"/>
    <d v="2025-05-07T00:00:00"/>
    <s v="C119"/>
    <s v="Laptop Pro 15"/>
    <n v="52"/>
    <n v="93600"/>
    <n v="69194"/>
    <s v="Brandon Martin"/>
    <s v="Cancelled"/>
    <n v="0.26074786324786325"/>
    <x v="0"/>
    <x v="13"/>
  </r>
  <r>
    <s v="ORD-0126"/>
    <d v="2025-04-05T00:00:00"/>
    <s v="C128"/>
    <s v="Laptop Pro 15"/>
    <n v="50"/>
    <n v="90000"/>
    <n v="65328"/>
    <s v="Hannah Young"/>
    <s v="Open"/>
    <n v="0.27413333333333334"/>
    <x v="0"/>
    <x v="16"/>
  </r>
  <r>
    <s v="ORD-0119"/>
    <d v="2025-03-15T00:00:00"/>
    <s v="C109"/>
    <s v="Server Rack Unit"/>
    <n v="10"/>
    <n v="95000"/>
    <n v="74118"/>
    <s v="Matthew Rodriguez"/>
    <s v="Cancelled"/>
    <n v="0.21981052631578948"/>
    <x v="1"/>
    <x v="17"/>
  </r>
  <r>
    <s v="ORD-0068"/>
    <d v="2024-09-08T00:00:00"/>
    <s v="C101"/>
    <s v="Wireless Printer"/>
    <n v="10"/>
    <n v="3000"/>
    <n v="2124"/>
    <s v="James Smith"/>
    <s v="Closed"/>
    <n v="0.29199999999999998"/>
    <x v="3"/>
    <x v="15"/>
  </r>
  <r>
    <s v="ORD-0118"/>
    <d v="2025-03-13T00:00:00"/>
    <s v="C129"/>
    <s v="Server Rack Unit"/>
    <n v="8"/>
    <n v="76000"/>
    <n v="59403"/>
    <s v="Nathan Allen"/>
    <s v="Closed"/>
    <n v="0.21838157894736843"/>
    <x v="1"/>
    <x v="17"/>
  </r>
  <r>
    <s v="ORD-0070"/>
    <d v="2024-09-19T00:00:00"/>
    <s v="C110"/>
    <s v="Wireless Printer"/>
    <n v="47"/>
    <n v="14100"/>
    <n v="9826"/>
    <s v="Amanda Martinez"/>
    <s v="Cancelled"/>
    <n v="0.30312056737588655"/>
    <x v="1"/>
    <x v="15"/>
  </r>
  <r>
    <s v="ORD-0114"/>
    <d v="2025-03-02T00:00:00"/>
    <s v="C118"/>
    <s v="Server Rack Unit"/>
    <n v="11"/>
    <n v="104500"/>
    <n v="80048"/>
    <s v="Rachel Jackson"/>
    <s v="Closed"/>
    <n v="0.23399043062200958"/>
    <x v="1"/>
    <x v="17"/>
  </r>
  <r>
    <s v="ORD-0072"/>
    <d v="2024-09-23T00:00:00"/>
    <s v="C109"/>
    <s v="Wireless Printer"/>
    <n v="38"/>
    <n v="11400"/>
    <n v="8238"/>
    <s v="Matthew Rodriguez"/>
    <s v="Closed"/>
    <n v="0.2773684210526316"/>
    <x v="1"/>
    <x v="15"/>
  </r>
  <r>
    <s v="ORD-0073"/>
    <d v="2024-09-26T00:00:00"/>
    <s v="C125"/>
    <s v="Wireless Printer"/>
    <n v="53"/>
    <n v="15900"/>
    <n v="11158"/>
    <s v="Jacob Lewis"/>
    <s v="Closed"/>
    <n v="0.29823899371069185"/>
    <x v="1"/>
    <x v="15"/>
  </r>
  <r>
    <s v="ORD-0074"/>
    <d v="2024-10-01T00:00:00"/>
    <s v="C135"/>
    <s v="Tablet 11"/>
    <n v="48"/>
    <n v="40800"/>
    <n v="29605"/>
    <s v="Aaron Adams"/>
    <s v="Closed"/>
    <n v="0.27438725490196081"/>
    <x v="0"/>
    <x v="18"/>
  </r>
  <r>
    <s v="ORD-0075"/>
    <d v="2024-10-03T00:00:00"/>
    <s v="C103"/>
    <s v="Laptop Pro 15"/>
    <n v="13"/>
    <n v="23400"/>
    <n v="17942"/>
    <s v="Michael Williams"/>
    <s v="Closed"/>
    <n v="0.23324786324786326"/>
    <x v="3"/>
    <x v="18"/>
  </r>
  <r>
    <s v="ORD-0112"/>
    <d v="2025-02-26T00:00:00"/>
    <s v="C102"/>
    <s v="Server Rack Unit"/>
    <n v="12"/>
    <n v="114000"/>
    <n v="83924"/>
    <s v="Emily Johnson"/>
    <s v="Closed"/>
    <n v="0.26382456140350879"/>
    <x v="0"/>
    <x v="19"/>
  </r>
  <r>
    <s v="ORD-0077"/>
    <d v="2024-10-08T00:00:00"/>
    <s v="C130"/>
    <s v="Tablet 11"/>
    <n v="36"/>
    <n v="30600"/>
    <n v="22031"/>
    <s v="Olivia King"/>
    <s v="Closed"/>
    <n v="0.28003267973856211"/>
    <x v="0"/>
    <x v="18"/>
  </r>
  <r>
    <s v="ORD-0111"/>
    <d v="2025-02-24T00:00:00"/>
    <s v="C129"/>
    <s v="Server Rack Unit"/>
    <n v="11"/>
    <n v="104500"/>
    <n v="81918"/>
    <s v="Nathan Allen"/>
    <s v="Closed"/>
    <n v="0.21609569377990431"/>
    <x v="1"/>
    <x v="19"/>
  </r>
  <r>
    <s v="ORD-0079"/>
    <d v="2024-10-17T00:00:00"/>
    <s v="C106"/>
    <s v="Wireless Printer"/>
    <n v="47"/>
    <n v="14100"/>
    <n v="9982"/>
    <s v="Jessica Garcia"/>
    <s v="Open"/>
    <n v="0.29205673758865247"/>
    <x v="2"/>
    <x v="18"/>
  </r>
  <r>
    <s v="ORD-0080"/>
    <d v="2024-10-24T00:00:00"/>
    <s v="C131"/>
    <s v="Tablet 11"/>
    <n v="21"/>
    <n v="17850"/>
    <n v="12886"/>
    <s v="Zachary Wright"/>
    <s v="Closed"/>
    <n v="0.27809523809523812"/>
    <x v="0"/>
    <x v="18"/>
  </r>
  <r>
    <s v="ORD-0081"/>
    <d v="2024-10-28T00:00:00"/>
    <s v="C116"/>
    <s v="Monitor 27"/>
    <n v="51"/>
    <n v="22950"/>
    <n v="16059"/>
    <s v="Lauren Taylor"/>
    <s v="Closed"/>
    <n v="0.30026143790849674"/>
    <x v="3"/>
    <x v="18"/>
  </r>
  <r>
    <s v="ORD-0104"/>
    <d v="2025-02-06T00:00:00"/>
    <s v="C114"/>
    <s v="Laptop Pro 15"/>
    <n v="37"/>
    <n v="66600"/>
    <n v="51307"/>
    <s v="Megan Anderson"/>
    <s v="Closed"/>
    <n v="0.22962462462462463"/>
    <x v="3"/>
    <x v="19"/>
  </r>
  <r>
    <s v="ORD-0083"/>
    <d v="2024-11-11T00:00:00"/>
    <s v="C120"/>
    <s v="Monitor 27"/>
    <n v="44"/>
    <n v="19800"/>
    <n v="14323"/>
    <s v="Stephanie Lee"/>
    <s v="Closed"/>
    <n v="0.27661616161616159"/>
    <x v="0"/>
    <x v="20"/>
  </r>
  <r>
    <s v="ORD-0084"/>
    <d v="2024-11-16T00:00:00"/>
    <s v="C119"/>
    <s v="Tablet 11"/>
    <n v="54"/>
    <n v="45900"/>
    <n v="34957"/>
    <s v="Brandon Martin"/>
    <s v="Open"/>
    <n v="0.23840958605664489"/>
    <x v="0"/>
    <x v="20"/>
  </r>
  <r>
    <s v="ORD-0085"/>
    <d v="2024-11-21T00:00:00"/>
    <s v="C113"/>
    <s v="Tablet 11"/>
    <n v="9"/>
    <n v="7650"/>
    <n v="5654"/>
    <s v="Andrew Wilson"/>
    <s v="Open"/>
    <n v="0.26091503267973853"/>
    <x v="0"/>
    <x v="20"/>
  </r>
  <r>
    <s v="ORD-0098"/>
    <d v="2025-01-13T00:00:00"/>
    <s v="C113"/>
    <s v="Laptop Pro 15"/>
    <n v="50"/>
    <n v="90000"/>
    <n v="69901"/>
    <s v="Andrew Wilson"/>
    <s v="Open"/>
    <n v="0.22332222222222223"/>
    <x v="0"/>
    <x v="21"/>
  </r>
  <r>
    <s v="ORD-0087"/>
    <d v="2024-11-23T00:00:00"/>
    <s v="C119"/>
    <s v="Wireless Printer"/>
    <n v="34"/>
    <n v="10200"/>
    <n v="6915"/>
    <s v="Brandon Martin"/>
    <s v="Closed"/>
    <n v="0.32205882352941179"/>
    <x v="0"/>
    <x v="20"/>
  </r>
  <r>
    <s v="ORD-0088"/>
    <d v="2024-11-25T00:00:00"/>
    <s v="C136"/>
    <s v="Laptop Pro 15"/>
    <n v="17"/>
    <n v="30600"/>
    <n v="22103"/>
    <s v="Victoria Nelson"/>
    <s v="Closed"/>
    <n v="0.27767973856209149"/>
    <x v="0"/>
    <x v="20"/>
  </r>
  <r>
    <s v="ORD-0097"/>
    <d v="2025-01-11T00:00:00"/>
    <s v="C121"/>
    <s v="Laptop Pro 15"/>
    <n v="53"/>
    <n v="95400"/>
    <n v="70039"/>
    <s v="Tyler Thompson"/>
    <s v="Open"/>
    <n v="0.26583857442348008"/>
    <x v="2"/>
    <x v="21"/>
  </r>
  <r>
    <s v="ORD-0090"/>
    <d v="2024-12-07T00:00:00"/>
    <s v="C138"/>
    <s v="Laptop Pro 15"/>
    <n v="10"/>
    <n v="18000"/>
    <n v="13873"/>
    <s v="Rebecca Campbell"/>
    <s v="Open"/>
    <n v="0.22927777777777777"/>
    <x v="1"/>
    <x v="22"/>
  </r>
  <r>
    <s v="ORD-0093"/>
    <d v="2024-12-17T00:00:00"/>
    <s v="C118"/>
    <s v="Server Rack Unit"/>
    <n v="8"/>
    <n v="76000"/>
    <n v="57707"/>
    <s v="Rachel Jackson"/>
    <s v="Closed"/>
    <n v="0.24069736842105263"/>
    <x v="1"/>
    <x v="22"/>
  </r>
  <r>
    <s v="ORD-0092"/>
    <d v="2024-12-16T00:00:00"/>
    <s v="C119"/>
    <s v="Laptop Pro 15"/>
    <n v="34"/>
    <n v="61200"/>
    <n v="45665"/>
    <s v="Brandon Martin"/>
    <s v="Open"/>
    <n v="0.25383986928104574"/>
    <x v="0"/>
    <x v="22"/>
  </r>
  <r>
    <s v="ORD-0091"/>
    <d v="2024-12-08T00:00:00"/>
    <s v="C132"/>
    <s v="Server Rack Unit"/>
    <n v="8"/>
    <n v="76000"/>
    <n v="56522"/>
    <s v="Brittany Scott"/>
    <s v="Closed"/>
    <n v="0.25628947368421051"/>
    <x v="1"/>
    <x v="22"/>
  </r>
  <r>
    <s v="ORD-0094"/>
    <d v="2024-12-17T00:00:00"/>
    <s v="C124"/>
    <s v="Monitor 27"/>
    <n v="13"/>
    <n v="5850"/>
    <n v="4207"/>
    <s v="Elizabeth Clark"/>
    <s v="Cancelled"/>
    <n v="0.28085470085470088"/>
    <x v="2"/>
    <x v="22"/>
  </r>
  <r>
    <s v="ORD-0095"/>
    <d v="2024-12-21T00:00:00"/>
    <s v="C118"/>
    <s v="Wireless Printer"/>
    <n v="12"/>
    <n v="3600"/>
    <n v="2463"/>
    <s v="Rachel Jackson"/>
    <s v="Open"/>
    <n v="0.31583333333333335"/>
    <x v="1"/>
    <x v="22"/>
  </r>
  <r>
    <s v="ORD-0096"/>
    <d v="2025-01-08T00:00:00"/>
    <s v="C128"/>
    <s v="Monitor 27"/>
    <n v="37"/>
    <n v="16650"/>
    <n v="11381"/>
    <s v="Hannah Young"/>
    <s v="Closed"/>
    <n v="0.31645645645645648"/>
    <x v="0"/>
    <x v="21"/>
  </r>
  <r>
    <s v="ORD-0089"/>
    <d v="2024-12-01T00:00:00"/>
    <s v="C129"/>
    <s v="Server Rack Unit"/>
    <n v="8"/>
    <n v="76000"/>
    <n v="58750"/>
    <s v="Nathan Allen"/>
    <s v="Closed"/>
    <n v="0.22697368421052633"/>
    <x v="1"/>
    <x v="22"/>
  </r>
  <r>
    <s v="ORD-0086"/>
    <d v="2024-11-22T00:00:00"/>
    <s v="C114"/>
    <s v="Laptop Pro 15"/>
    <n v="48"/>
    <n v="86400"/>
    <n v="64554"/>
    <s v="Megan Anderson"/>
    <s v="Closed"/>
    <n v="0.25284722222222222"/>
    <x v="3"/>
    <x v="20"/>
  </r>
  <r>
    <s v="ORD-0099"/>
    <d v="2025-01-13T00:00:00"/>
    <s v="C105"/>
    <s v="Wireless Printer"/>
    <n v="28"/>
    <n v="8400"/>
    <n v="5799"/>
    <s v="David Jones"/>
    <s v="Open"/>
    <n v="0.30964285714285716"/>
    <x v="0"/>
    <x v="21"/>
  </r>
  <r>
    <s v="ORD-0100"/>
    <d v="2025-01-14T00:00:00"/>
    <s v="C125"/>
    <s v="Monitor 27"/>
    <n v="25"/>
    <n v="11250"/>
    <n v="7890"/>
    <s v="Jacob Lewis"/>
    <s v="Closed"/>
    <n v="0.29866666666666669"/>
    <x v="1"/>
    <x v="21"/>
  </r>
  <r>
    <s v="ORD-0101"/>
    <d v="2025-01-24T00:00:00"/>
    <s v="C117"/>
    <s v="Monitor 27"/>
    <n v="28"/>
    <n v="12600"/>
    <n v="9252"/>
    <s v="Ryan Moore"/>
    <s v="Closed"/>
    <n v="0.26571428571428574"/>
    <x v="2"/>
    <x v="21"/>
  </r>
  <r>
    <s v="ORD-0102"/>
    <d v="2025-01-25T00:00:00"/>
    <s v="C104"/>
    <s v="Monitor 27"/>
    <n v="22"/>
    <n v="9900"/>
    <n v="7149"/>
    <s v="Sarah Brown"/>
    <s v="Closed"/>
    <n v="0.27787878787878789"/>
    <x v="1"/>
    <x v="21"/>
  </r>
  <r>
    <s v="ORD-0103"/>
    <d v="2025-01-27T00:00:00"/>
    <s v="C119"/>
    <s v="Tablet 11"/>
    <n v="45"/>
    <n v="38250"/>
    <n v="29436"/>
    <s v="Brandon Martin"/>
    <s v="Closed"/>
    <n v="0.2304313725490196"/>
    <x v="0"/>
    <x v="21"/>
  </r>
  <r>
    <s v="ORD-0082"/>
    <d v="2024-11-01T00:00:00"/>
    <s v="C104"/>
    <s v="Server Rack Unit"/>
    <n v="9"/>
    <n v="85500"/>
    <n v="66818"/>
    <s v="Sarah Brown"/>
    <s v="Open"/>
    <n v="0.2185029239766082"/>
    <x v="1"/>
    <x v="20"/>
  </r>
  <r>
    <s v="ORD-0105"/>
    <d v="2025-02-10T00:00:00"/>
    <s v="C117"/>
    <s v="Monitor 27"/>
    <n v="52"/>
    <n v="23400"/>
    <n v="17116"/>
    <s v="Ryan Moore"/>
    <s v="Closed"/>
    <n v="0.26854700854700853"/>
    <x v="2"/>
    <x v="19"/>
  </r>
  <r>
    <s v="ORD-0106"/>
    <d v="2025-02-16T00:00:00"/>
    <s v="C126"/>
    <s v="Wireless Printer"/>
    <n v="12"/>
    <n v="3600"/>
    <n v="2565"/>
    <s v="Samantha Robinson"/>
    <s v="Closed"/>
    <n v="0.28749999999999998"/>
    <x v="0"/>
    <x v="19"/>
  </r>
  <r>
    <s v="ORD-0107"/>
    <d v="2025-02-18T00:00:00"/>
    <s v="C114"/>
    <s v="Wireless Printer"/>
    <n v="51"/>
    <n v="15300"/>
    <n v="10545"/>
    <s v="Megan Anderson"/>
    <s v="Closed"/>
    <n v="0.3107843137254902"/>
    <x v="3"/>
    <x v="19"/>
  </r>
  <r>
    <s v="ORD-0108"/>
    <d v="2025-02-18T00:00:00"/>
    <s v="C111"/>
    <s v="Desktop Tower"/>
    <n v="35"/>
    <n v="42000"/>
    <n v="31809"/>
    <s v="Christopher Hernandez"/>
    <s v="Closed"/>
    <n v="0.24264285714285713"/>
    <x v="3"/>
    <x v="19"/>
  </r>
  <r>
    <s v="ORD-0109"/>
    <d v="2025-02-21T00:00:00"/>
    <s v="C132"/>
    <s v="Monitor 27"/>
    <n v="8"/>
    <n v="3600"/>
    <n v="2644"/>
    <s v="Brittany Scott"/>
    <s v="Closed"/>
    <n v="0.26555555555555554"/>
    <x v="1"/>
    <x v="19"/>
  </r>
  <r>
    <s v="ORD-0110"/>
    <d v="2025-02-21T00:00:00"/>
    <s v="C126"/>
    <s v="Monitor 27"/>
    <n v="46"/>
    <n v="20700"/>
    <n v="14163"/>
    <s v="Samantha Robinson"/>
    <s v="Closed"/>
    <n v="0.31579710144927536"/>
    <x v="0"/>
    <x v="19"/>
  </r>
  <r>
    <s v="ORD-0078"/>
    <d v="2024-10-09T00:00:00"/>
    <s v="C130"/>
    <s v="Laptop Pro 15"/>
    <n v="56"/>
    <n v="100800"/>
    <n v="76254"/>
    <s v="Olivia King"/>
    <s v="Closed"/>
    <n v="0.24351190476190476"/>
    <x v="0"/>
    <x v="18"/>
  </r>
  <r>
    <s v="ORD-0076"/>
    <d v="2024-10-04T00:00:00"/>
    <s v="C129"/>
    <s v="Server Rack Unit"/>
    <n v="10"/>
    <n v="95000"/>
    <n v="72293"/>
    <s v="Nathan Allen"/>
    <s v="Cancelled"/>
    <n v="0.23902105263157894"/>
    <x v="1"/>
    <x v="18"/>
  </r>
  <r>
    <s v="ORD-0113"/>
    <d v="2025-03-01T00:00:00"/>
    <s v="C127"/>
    <s v="Tablet 11"/>
    <n v="29"/>
    <n v="24650"/>
    <n v="17600"/>
    <s v="Justin Walker"/>
    <s v="Closed"/>
    <n v="0.28600405679513186"/>
    <x v="0"/>
    <x v="17"/>
  </r>
  <r>
    <s v="ORD-0071"/>
    <d v="2024-09-19T00:00:00"/>
    <s v="C138"/>
    <s v="Laptop Pro 15"/>
    <n v="56"/>
    <n v="100800"/>
    <n v="77012"/>
    <s v="Rebecca Campbell"/>
    <s v="Closed"/>
    <n v="0.2359920634920635"/>
    <x v="1"/>
    <x v="15"/>
  </r>
  <r>
    <s v="ORD-0115"/>
    <d v="2025-03-03T00:00:00"/>
    <s v="C122"/>
    <s v="Desktop Tower"/>
    <n v="40"/>
    <n v="48000"/>
    <n v="36682"/>
    <s v="Nicole White"/>
    <s v="Closed"/>
    <n v="0.23579166666666668"/>
    <x v="1"/>
    <x v="17"/>
  </r>
  <r>
    <s v="ORD-0116"/>
    <d v="2025-03-05T00:00:00"/>
    <s v="C133"/>
    <s v="Tablet 11"/>
    <n v="38"/>
    <n v="32300"/>
    <n v="24113"/>
    <s v="Ethan Green"/>
    <s v="Closed"/>
    <n v="0.25346749226006193"/>
    <x v="1"/>
    <x v="17"/>
  </r>
  <r>
    <s v="ORD-0117"/>
    <d v="2025-03-08T00:00:00"/>
    <s v="C117"/>
    <s v="Monitor 27"/>
    <n v="56"/>
    <n v="25200"/>
    <n v="18375"/>
    <s v="Ryan Moore"/>
    <s v="Open"/>
    <n v="0.27083333333333331"/>
    <x v="2"/>
    <x v="17"/>
  </r>
  <r>
    <s v="ORD-0069"/>
    <d v="2024-09-16T00:00:00"/>
    <s v="C119"/>
    <s v="Desktop Tower"/>
    <n v="51"/>
    <n v="61200"/>
    <n v="45350"/>
    <s v="Brandon Martin"/>
    <s v="Closed"/>
    <n v="0.25898692810457519"/>
    <x v="0"/>
    <x v="15"/>
  </r>
  <r>
    <s v="ORD-0067"/>
    <d v="2024-09-05T00:00:00"/>
    <s v="C133"/>
    <s v="Laptop Pro 15"/>
    <n v="45"/>
    <n v="81000"/>
    <n v="59604"/>
    <s v="Ethan Green"/>
    <s v="Closed"/>
    <n v="0.26414814814814813"/>
    <x v="1"/>
    <x v="15"/>
  </r>
  <r>
    <s v="ORD-0120"/>
    <d v="2025-03-17T00:00:00"/>
    <s v="C125"/>
    <s v="Desktop Tower"/>
    <n v="22"/>
    <n v="26400"/>
    <n v="20504"/>
    <s v="Jacob Lewis"/>
    <s v="Closed"/>
    <n v="0.22333333333333333"/>
    <x v="1"/>
    <x v="17"/>
  </r>
  <r>
    <s v="ORD-0121"/>
    <d v="2025-03-18T00:00:00"/>
    <s v="C129"/>
    <s v="Desktop Tower"/>
    <n v="26"/>
    <n v="31200"/>
    <n v="22849"/>
    <s v="Nathan Allen"/>
    <s v="Closed"/>
    <n v="0.26766025641025643"/>
    <x v="1"/>
    <x v="17"/>
  </r>
  <r>
    <s v="ORD-0122"/>
    <d v="2025-03-28T00:00:00"/>
    <s v="C106"/>
    <s v="Desktop Tower"/>
    <n v="22"/>
    <n v="26400"/>
    <n v="19063"/>
    <s v="Jessica Garcia"/>
    <s v="Open"/>
    <n v="0.27791666666666665"/>
    <x v="2"/>
    <x v="17"/>
  </r>
  <r>
    <s v="ORD-0123"/>
    <d v="2025-04-02T00:00:00"/>
    <s v="C109"/>
    <s v="Laptop Pro 15"/>
    <n v="19"/>
    <n v="34200"/>
    <n v="26290"/>
    <s v="Matthew Rodriguez"/>
    <s v="Closed"/>
    <n v="0.23128654970760235"/>
    <x v="1"/>
    <x v="16"/>
  </r>
  <r>
    <s v="ORD-0124"/>
    <d v="2025-04-02T00:00:00"/>
    <s v="C120"/>
    <s v="Tablet 11"/>
    <n v="13"/>
    <n v="11050"/>
    <n v="8403"/>
    <s v="Stephanie Lee"/>
    <s v="Closed"/>
    <n v="0.23954751131221719"/>
    <x v="0"/>
    <x v="16"/>
  </r>
  <r>
    <s v="ORD-0125"/>
    <d v="2025-04-04T00:00:00"/>
    <s v="C110"/>
    <s v="Desktop Tower"/>
    <n v="14"/>
    <n v="16800"/>
    <n v="12386"/>
    <s v="Amanda Martinez"/>
    <s v="Closed"/>
    <n v="0.26273809523809522"/>
    <x v="1"/>
    <x v="16"/>
  </r>
  <r>
    <s v="ORD-0065"/>
    <d v="2024-09-03T00:00:00"/>
    <s v="C118"/>
    <s v="Server Rack Unit"/>
    <n v="10"/>
    <n v="95000"/>
    <n v="72796"/>
    <s v="Rachel Jackson"/>
    <s v="Open"/>
    <n v="0.23372631578947367"/>
    <x v="1"/>
    <x v="15"/>
  </r>
  <r>
    <s v="ORD-0127"/>
    <d v="2025-04-22T00:00:00"/>
    <s v="C130"/>
    <s v="Laptop Pro 15"/>
    <n v="10"/>
    <n v="18000"/>
    <n v="13181"/>
    <s v="Olivia King"/>
    <s v="Closed"/>
    <n v="0.26772222222222219"/>
    <x v="0"/>
    <x v="16"/>
  </r>
  <r>
    <s v="ORD-0128"/>
    <d v="2025-04-26T00:00:00"/>
    <s v="C132"/>
    <s v="Server Rack Unit"/>
    <n v="2"/>
    <n v="19000"/>
    <n v="14312"/>
    <s v="Brittany Scott"/>
    <s v="Closed"/>
    <n v="0.24673684210526317"/>
    <x v="1"/>
    <x v="16"/>
  </r>
  <r>
    <s v="ORD-0129"/>
    <d v="2025-04-27T00:00:00"/>
    <s v="C130"/>
    <s v="Wireless Printer"/>
    <n v="33"/>
    <n v="9900"/>
    <n v="6795"/>
    <s v="Olivia King"/>
    <s v="Closed"/>
    <n v="0.31363636363636366"/>
    <x v="0"/>
    <x v="16"/>
  </r>
  <r>
    <s v="ORD-0130"/>
    <d v="2025-05-03T00:00:00"/>
    <s v="C132"/>
    <s v="Desktop Tower"/>
    <n v="17"/>
    <n v="20400"/>
    <n v="15564"/>
    <s v="Brittany Scott"/>
    <s v="Closed"/>
    <n v="0.23705882352941177"/>
    <x v="1"/>
    <x v="13"/>
  </r>
  <r>
    <s v="ORD-0066"/>
    <d v="2024-09-03T00:00:00"/>
    <s v="C126"/>
    <s v="Desktop Tower"/>
    <n v="42"/>
    <n v="50400"/>
    <n v="38653"/>
    <s v="Samantha Robinson"/>
    <s v="Closed"/>
    <n v="0.23307539682539682"/>
    <x v="0"/>
    <x v="15"/>
  </r>
  <r>
    <s v="ORD-0132"/>
    <d v="2025-05-08T00:00:00"/>
    <s v="C116"/>
    <s v="Monitor 27"/>
    <n v="6"/>
    <n v="2700"/>
    <n v="1921"/>
    <s v="Lauren Taylor"/>
    <s v="Open"/>
    <n v="0.28851851851851851"/>
    <x v="3"/>
    <x v="13"/>
  </r>
  <r>
    <s v="ORD-0133"/>
    <d v="2025-05-11T00:00:00"/>
    <s v="C127"/>
    <s v="Tablet 11"/>
    <n v="28"/>
    <n v="23800"/>
    <n v="17807"/>
    <s v="Justin Walker"/>
    <s v="Closed"/>
    <n v="0.25180672268907561"/>
    <x v="0"/>
    <x v="13"/>
  </r>
  <r>
    <s v="ORD-0134"/>
    <d v="2025-05-15T00:00:00"/>
    <s v="C121"/>
    <s v="Monitor 27"/>
    <n v="46"/>
    <n v="20700"/>
    <n v="14617"/>
    <s v="Tyler Thompson"/>
    <s v="Closed"/>
    <n v="0.29386473429951693"/>
    <x v="2"/>
    <x v="13"/>
  </r>
  <r>
    <s v="ORD-0135"/>
    <d v="2025-05-16T00:00:00"/>
    <s v="C127"/>
    <s v="Tablet 11"/>
    <n v="10"/>
    <n v="8500"/>
    <n v="6438"/>
    <s v="Justin Walker"/>
    <s v="Closed"/>
    <n v="0.24258823529411766"/>
    <x v="0"/>
    <x v="13"/>
  </r>
  <r>
    <s v="ORD-0136"/>
    <d v="2025-05-19T00:00:00"/>
    <s v="C125"/>
    <s v="Desktop Tower"/>
    <n v="21"/>
    <n v="25200"/>
    <n v="19209"/>
    <s v="Jacob Lewis"/>
    <s v="Closed"/>
    <n v="0.23773809523809525"/>
    <x v="1"/>
    <x v="13"/>
  </r>
  <r>
    <s v="ORD-0063"/>
    <d v="2024-08-27T00:00:00"/>
    <s v="C133"/>
    <s v="Server Rack Unit"/>
    <n v="12"/>
    <n v="114000"/>
    <n v="89418"/>
    <s v="Ethan Green"/>
    <s v="Closed"/>
    <n v="0.21563157894736842"/>
    <x v="1"/>
    <x v="14"/>
  </r>
  <r>
    <s v="ORD-0138"/>
    <d v="2025-05-21T00:00:00"/>
    <s v="C107"/>
    <s v="Laptop Pro 15"/>
    <n v="9"/>
    <n v="16200"/>
    <n v="11752"/>
    <s v="Daniel Miller"/>
    <s v="Open"/>
    <n v="0.27456790123456792"/>
    <x v="3"/>
    <x v="13"/>
  </r>
  <r>
    <s v="ORD-0050"/>
    <d v="2024-07-10T00:00:00"/>
    <s v="C133"/>
    <s v="Server Rack Unit"/>
    <n v="12"/>
    <n v="114000"/>
    <n v="89746"/>
    <s v="Ethan Green"/>
    <s v="Closed"/>
    <n v="0.21275438596491228"/>
    <x v="1"/>
    <x v="12"/>
  </r>
  <r>
    <s v="ORD-0140"/>
    <d v="2025-05-23T00:00:00"/>
    <s v="C120"/>
    <s v="Tablet 11"/>
    <n v="8"/>
    <n v="6800"/>
    <n v="4920"/>
    <s v="Stephanie Lee"/>
    <s v="Open"/>
    <n v="0.27647058823529413"/>
    <x v="0"/>
    <x v="13"/>
  </r>
  <r>
    <s v="ORD-0141"/>
    <d v="2025-06-01T00:00:00"/>
    <s v="C110"/>
    <s v="Wireless Printer"/>
    <n v="31"/>
    <n v="9300"/>
    <n v="6759"/>
    <s v="Amanda Martinez"/>
    <s v="Closed"/>
    <n v="0.27322580645161293"/>
    <x v="1"/>
    <x v="11"/>
  </r>
  <r>
    <s v="ORD-0142"/>
    <d v="2025-06-02T00:00:00"/>
    <s v="C110"/>
    <s v="Wireless Printer"/>
    <n v="30"/>
    <n v="9000"/>
    <n v="6295"/>
    <s v="Amanda Martinez"/>
    <s v="Closed"/>
    <n v="0.30055555555555558"/>
    <x v="1"/>
    <x v="11"/>
  </r>
  <r>
    <s v="ORD-0143"/>
    <d v="2025-06-02T00:00:00"/>
    <s v="C126"/>
    <s v="Desktop Tower"/>
    <n v="33"/>
    <n v="39600"/>
    <n v="30405"/>
    <s v="Samantha Robinson"/>
    <s v="Closed"/>
    <n v="0.23219696969696971"/>
    <x v="0"/>
    <x v="11"/>
  </r>
  <r>
    <s v="ORD-0144"/>
    <d v="2025-06-06T00:00:00"/>
    <s v="C132"/>
    <s v="Desktop Tower"/>
    <n v="31"/>
    <n v="37200"/>
    <n v="27888"/>
    <s v="Brittany Scott"/>
    <s v="Closed"/>
    <n v="0.25032258064516127"/>
    <x v="1"/>
    <x v="11"/>
  </r>
  <r>
    <s v="ORD-0048"/>
    <d v="2024-07-08T00:00:00"/>
    <s v="C107"/>
    <s v="Server Rack Unit"/>
    <n v="12"/>
    <n v="114000"/>
    <n v="83278"/>
    <s v="Daniel Miller"/>
    <s v="Open"/>
    <n v="0.26949122807017545"/>
    <x v="3"/>
    <x v="12"/>
  </r>
  <r>
    <s v="ORD-0146"/>
    <d v="2025-06-11T00:00:00"/>
    <s v="C108"/>
    <s v="Tablet 11"/>
    <n v="10"/>
    <n v="8500"/>
    <n v="6524"/>
    <s v="Ashley Davis"/>
    <s v="Closed"/>
    <n v="0.23247058823529412"/>
    <x v="1"/>
    <x v="11"/>
  </r>
  <r>
    <s v="ORD-0046"/>
    <d v="2024-06-25T00:00:00"/>
    <s v="C118"/>
    <s v="Desktop Tower"/>
    <n v="53"/>
    <n v="63600"/>
    <n v="48710"/>
    <s v="Rachel Jackson"/>
    <s v="Closed"/>
    <n v="0.23411949685534592"/>
    <x v="1"/>
    <x v="10"/>
  </r>
  <r>
    <s v="ORD-0148"/>
    <d v="2025-06-24T00:00:00"/>
    <s v="C125"/>
    <s v="Monitor 27"/>
    <n v="58"/>
    <n v="26100"/>
    <n v="18557"/>
    <s v="Jacob Lewis"/>
    <s v="Closed"/>
    <n v="0.28900383141762453"/>
    <x v="1"/>
    <x v="11"/>
  </r>
  <r>
    <s v="ORD-0149"/>
    <d v="2025-07-03T00:00:00"/>
    <s v="C127"/>
    <s v="Monitor 27"/>
    <n v="12"/>
    <n v="5400"/>
    <n v="3882"/>
    <s v="Justin Walker"/>
    <s v="Closed"/>
    <n v="0.28111111111111109"/>
    <x v="0"/>
    <x v="23"/>
  </r>
  <r>
    <s v="ORD-0150"/>
    <d v="2025-07-03T00:00:00"/>
    <s v="C122"/>
    <s v="Wireless Printer"/>
    <n v="28"/>
    <n v="8400"/>
    <n v="6015"/>
    <s v="Nicole White"/>
    <s v="Closed"/>
    <n v="0.28392857142857142"/>
    <x v="1"/>
    <x v="23"/>
  </r>
  <r>
    <s v="ORD-0151"/>
    <d v="2025-07-07T00:00:00"/>
    <s v="C135"/>
    <s v="Monitor 27"/>
    <n v="33"/>
    <n v="14850"/>
    <n v="10802"/>
    <s v="Aaron Adams"/>
    <s v="Closed"/>
    <n v="0.27259259259259261"/>
    <x v="0"/>
    <x v="23"/>
  </r>
  <r>
    <s v="ORD-0152"/>
    <d v="2025-07-08T00:00:00"/>
    <s v="C126"/>
    <s v="Tablet 11"/>
    <n v="7"/>
    <n v="5950"/>
    <n v="4359"/>
    <s v="Samantha Robinson"/>
    <s v="Closed"/>
    <n v="0.26739495798319329"/>
    <x v="0"/>
    <x v="23"/>
  </r>
  <r>
    <s v="ORD-0153"/>
    <d v="2025-07-10T00:00:00"/>
    <s v="C106"/>
    <s v="Server Rack Unit"/>
    <n v="2"/>
    <n v="19000"/>
    <n v="14279"/>
    <s v="Jessica Garcia"/>
    <s v="Open"/>
    <n v="0.24847368421052632"/>
    <x v="2"/>
    <x v="23"/>
  </r>
  <r>
    <s v="ORD-0154"/>
    <d v="2025-07-12T00:00:00"/>
    <s v="C131"/>
    <s v="Tablet 11"/>
    <n v="6"/>
    <n v="5100"/>
    <n v="3655"/>
    <s v="Zachary Wright"/>
    <s v="Open"/>
    <n v="0.28333333333333333"/>
    <x v="0"/>
    <x v="23"/>
  </r>
  <r>
    <s v="ORD-0155"/>
    <d v="2025-07-15T00:00:00"/>
    <s v="C107"/>
    <s v="Desktop Tower"/>
    <n v="5"/>
    <n v="6000"/>
    <n v="4329"/>
    <s v="Daniel Miller"/>
    <s v="Closed"/>
    <n v="0.27850000000000003"/>
    <x v="3"/>
    <x v="23"/>
  </r>
  <r>
    <s v="ORD-0156"/>
    <d v="2025-07-15T00:00:00"/>
    <s v="C104"/>
    <s v="Laptop Pro 15"/>
    <n v="21"/>
    <n v="37800"/>
    <n v="27813"/>
    <s v="Sarah Brown"/>
    <s v="Cancelled"/>
    <n v="0.26420634920634922"/>
    <x v="1"/>
    <x v="23"/>
  </r>
  <r>
    <s v="ORD-0157"/>
    <d v="2025-07-25T00:00:00"/>
    <s v="C125"/>
    <s v="Desktop Tower"/>
    <n v="27"/>
    <n v="32400"/>
    <n v="24302"/>
    <s v="Jacob Lewis"/>
    <s v="Closed"/>
    <n v="0.24993827160493828"/>
    <x v="1"/>
    <x v="23"/>
  </r>
  <r>
    <s v="ORD-0158"/>
    <d v="2025-08-02T00:00:00"/>
    <s v="C121"/>
    <s v="Monitor 27"/>
    <n v="22"/>
    <n v="9900"/>
    <n v="7256"/>
    <s v="Tyler Thompson"/>
    <s v="Closed"/>
    <n v="0.26707070707070707"/>
    <x v="2"/>
    <x v="9"/>
  </r>
  <r>
    <s v="ORD-0043"/>
    <d v="2024-06-15T00:00:00"/>
    <s v="C122"/>
    <s v="Laptop Pro 15"/>
    <n v="40"/>
    <n v="72000"/>
    <n v="53543"/>
    <s v="Nicole White"/>
    <s v="Open"/>
    <n v="0.25634722222222223"/>
    <x v="1"/>
    <x v="10"/>
  </r>
  <r>
    <s v="ORD-0040"/>
    <d v="2024-06-09T00:00:00"/>
    <s v="C112"/>
    <s v="Laptop Pro 15"/>
    <n v="32"/>
    <n v="57600"/>
    <n v="43391"/>
    <s v="Jennifer Lopez"/>
    <s v="Closed"/>
    <n v="0.24668402777777779"/>
    <x v="2"/>
    <x v="10"/>
  </r>
  <r>
    <s v="ORD-0161"/>
    <d v="2025-08-05T00:00:00"/>
    <s v="C116"/>
    <s v="Wireless Printer"/>
    <n v="25"/>
    <n v="7500"/>
    <n v="5311"/>
    <s v="Lauren Taylor"/>
    <s v="Closed"/>
    <n v="0.29186666666666666"/>
    <x v="3"/>
    <x v="9"/>
  </r>
  <r>
    <s v="ORD-0041"/>
    <d v="2024-06-09T00:00:00"/>
    <s v="C106"/>
    <s v="Laptop Pro 15"/>
    <n v="56"/>
    <n v="100800"/>
    <n v="77914"/>
    <s v="Jessica Garcia"/>
    <s v="Closed"/>
    <n v="0.2270436507936508"/>
    <x v="2"/>
    <x v="10"/>
  </r>
  <r>
    <s v="ORD-0163"/>
    <d v="2025-08-13T00:00:00"/>
    <s v="C116"/>
    <s v="Desktop Tower"/>
    <n v="31"/>
    <n v="37200"/>
    <n v="28666"/>
    <s v="Lauren Taylor"/>
    <s v="Closed"/>
    <n v="0.22940860215053763"/>
    <x v="3"/>
    <x v="9"/>
  </r>
  <r>
    <s v="ORD-0036"/>
    <d v="2024-05-17T00:00:00"/>
    <s v="C122"/>
    <s v="Server Rack Unit"/>
    <n v="8"/>
    <n v="76000"/>
    <n v="59422"/>
    <s v="Nicole White"/>
    <s v="Closed"/>
    <n v="0.21813157894736843"/>
    <x v="1"/>
    <x v="7"/>
  </r>
  <r>
    <s v="ORD-0165"/>
    <d v="2025-08-14T00:00:00"/>
    <s v="C105"/>
    <s v="Laptop Pro 15"/>
    <n v="21"/>
    <n v="37800"/>
    <n v="28211"/>
    <s v="David Jones"/>
    <s v="Open"/>
    <n v="0.25367724867724867"/>
    <x v="0"/>
    <x v="9"/>
  </r>
  <r>
    <s v="ORD-0166"/>
    <d v="2025-08-15T00:00:00"/>
    <s v="C139"/>
    <s v="Monitor 27"/>
    <n v="10"/>
    <n v="4500"/>
    <n v="3220"/>
    <s v="Benjamin Mitchell"/>
    <s v="Closed"/>
    <n v="0.28444444444444444"/>
    <x v="0"/>
    <x v="9"/>
  </r>
  <r>
    <s v="ORD-0167"/>
    <d v="2025-08-24T00:00:00"/>
    <s v="C105"/>
    <s v="Wireless Printer"/>
    <n v="6"/>
    <n v="1800"/>
    <n v="1256"/>
    <s v="David Jones"/>
    <s v="Open"/>
    <n v="0.30222222222222223"/>
    <x v="0"/>
    <x v="9"/>
  </r>
  <r>
    <s v="ORD-0168"/>
    <d v="2025-08-26T00:00:00"/>
    <s v="C120"/>
    <s v="Tablet 11"/>
    <n v="57"/>
    <n v="48450"/>
    <n v="35157"/>
    <s v="Stephanie Lee"/>
    <s v="Closed"/>
    <n v="0.27436532507739936"/>
    <x v="0"/>
    <x v="9"/>
  </r>
  <r>
    <s v="ORD-0169"/>
    <d v="2025-09-06T00:00:00"/>
    <s v="C109"/>
    <s v="Desktop Tower"/>
    <n v="31"/>
    <n v="37200"/>
    <n v="27457"/>
    <s v="Matthew Rodriguez"/>
    <s v="Open"/>
    <n v="0.26190860215053763"/>
    <x v="1"/>
    <x v="8"/>
  </r>
  <r>
    <s v="ORD-0170"/>
    <d v="2025-09-09T00:00:00"/>
    <s v="C117"/>
    <s v="Monitor 27"/>
    <n v="52"/>
    <n v="23400"/>
    <n v="17097"/>
    <s v="Ryan Moore"/>
    <s v="Closed"/>
    <n v="0.26935897435897438"/>
    <x v="2"/>
    <x v="8"/>
  </r>
  <r>
    <s v="ORD-0171"/>
    <d v="2025-09-09T00:00:00"/>
    <s v="C133"/>
    <s v="Desktop Tower"/>
    <n v="38"/>
    <n v="45600"/>
    <n v="33259"/>
    <s v="Ethan Green"/>
    <s v="Closed"/>
    <n v="0.2706359649122807"/>
    <x v="1"/>
    <x v="8"/>
  </r>
  <r>
    <s v="ORD-0172"/>
    <d v="2025-09-10T00:00:00"/>
    <s v="C113"/>
    <s v="Wireless Printer"/>
    <n v="25"/>
    <n v="7500"/>
    <n v="5177"/>
    <s v="Andrew Wilson"/>
    <s v="Closed"/>
    <n v="0.30973333333333336"/>
    <x v="0"/>
    <x v="8"/>
  </r>
  <r>
    <s v="ORD-0173"/>
    <d v="2025-09-10T00:00:00"/>
    <s v="C108"/>
    <s v="Desktop Tower"/>
    <n v="8"/>
    <n v="9600"/>
    <n v="7005"/>
    <s v="Ashley Davis"/>
    <s v="Closed"/>
    <n v="0.27031250000000001"/>
    <x v="1"/>
    <x v="8"/>
  </r>
  <r>
    <s v="ORD-0174"/>
    <d v="2025-09-15T00:00:00"/>
    <s v="C112"/>
    <s v="Desktop Tower"/>
    <n v="20"/>
    <n v="24000"/>
    <n v="17553"/>
    <s v="Jennifer Lopez"/>
    <s v="Cancelled"/>
    <n v="0.268625"/>
    <x v="2"/>
    <x v="8"/>
  </r>
  <r>
    <s v="ORD-0175"/>
    <d v="2025-09-16T00:00:00"/>
    <s v="C129"/>
    <s v="Desktop Tower"/>
    <n v="28"/>
    <n v="33600"/>
    <n v="25661"/>
    <s v="Nathan Allen"/>
    <s v="Closed"/>
    <n v="0.23627976190476191"/>
    <x v="1"/>
    <x v="8"/>
  </r>
  <r>
    <s v="ORD-0034"/>
    <d v="2024-05-15T00:00:00"/>
    <s v="C102"/>
    <s v="Server Rack Unit"/>
    <n v="8"/>
    <n v="76000"/>
    <n v="56135"/>
    <s v="Emily Johnson"/>
    <s v="Closed"/>
    <n v="0.26138157894736841"/>
    <x v="0"/>
    <x v="7"/>
  </r>
  <r>
    <s v="ORD-0177"/>
    <d v="2025-09-25T00:00:00"/>
    <s v="C119"/>
    <s v="Laptop Pro 15"/>
    <n v="23"/>
    <n v="41400"/>
    <n v="30762"/>
    <s v="Brandon Martin"/>
    <s v="Cancelled"/>
    <n v="0.25695652173913042"/>
    <x v="0"/>
    <x v="8"/>
  </r>
  <r>
    <s v="ORD-0178"/>
    <d v="2025-09-26T00:00:00"/>
    <s v="C130"/>
    <s v="Laptop Pro 15"/>
    <n v="7"/>
    <n v="12600"/>
    <n v="9673"/>
    <s v="Olivia King"/>
    <s v="Open"/>
    <n v="0.23230158730158731"/>
    <x v="0"/>
    <x v="8"/>
  </r>
  <r>
    <s v="ORD-0028"/>
    <d v="2024-04-09T00:00:00"/>
    <s v="C107"/>
    <s v="Laptop Pro 15"/>
    <n v="37"/>
    <n v="66600"/>
    <n v="48586"/>
    <s v="Daniel Miller"/>
    <s v="Open"/>
    <n v="0.27048048048048046"/>
    <x v="3"/>
    <x v="6"/>
  </r>
  <r>
    <s v="ORD-0180"/>
    <d v="2025-10-03T00:00:00"/>
    <s v="C111"/>
    <s v="Tablet 11"/>
    <n v="30"/>
    <n v="25500"/>
    <n v="19109"/>
    <s v="Christopher Hernandez"/>
    <s v="Closed"/>
    <n v="0.25062745098039213"/>
    <x v="3"/>
    <x v="5"/>
  </r>
  <r>
    <s v="ORD-0181"/>
    <d v="2025-10-04T00:00:00"/>
    <s v="C136"/>
    <s v="Server Rack Unit"/>
    <n v="4"/>
    <n v="38000"/>
    <n v="28124"/>
    <s v="Victoria Nelson"/>
    <s v="Closed"/>
    <n v="0.25989473684210529"/>
    <x v="0"/>
    <x v="5"/>
  </r>
  <r>
    <s v="ORD-0182"/>
    <d v="2025-10-06T00:00:00"/>
    <s v="C120"/>
    <s v="Wireless Printer"/>
    <n v="9"/>
    <n v="2700"/>
    <n v="1820"/>
    <s v="Stephanie Lee"/>
    <s v="Closed"/>
    <n v="0.32592592592592595"/>
    <x v="0"/>
    <x v="5"/>
  </r>
  <r>
    <s v="ORD-0026"/>
    <d v="2024-04-07T00:00:00"/>
    <s v="C109"/>
    <s v="Server Rack Unit"/>
    <n v="8"/>
    <n v="76000"/>
    <n v="59584"/>
    <s v="Matthew Rodriguez"/>
    <s v="Closed"/>
    <n v="0.216"/>
    <x v="1"/>
    <x v="6"/>
  </r>
  <r>
    <s v="ORD-0184"/>
    <d v="2025-10-07T00:00:00"/>
    <s v="C124"/>
    <s v="Laptop Pro 15"/>
    <n v="26"/>
    <n v="46800"/>
    <n v="35101"/>
    <s v="Elizabeth Clark"/>
    <s v="Closed"/>
    <n v="0.24997863247863247"/>
    <x v="2"/>
    <x v="5"/>
  </r>
  <r>
    <s v="ORD-0185"/>
    <d v="2025-10-07T00:00:00"/>
    <s v="C103"/>
    <s v="Monitor 27"/>
    <n v="43"/>
    <n v="19350"/>
    <n v="13720"/>
    <s v="Michael Williams"/>
    <s v="Closed"/>
    <n v="0.29095607235142118"/>
    <x v="3"/>
    <x v="5"/>
  </r>
  <r>
    <s v="ORD-0025"/>
    <d v="2024-04-03T00:00:00"/>
    <s v="C120"/>
    <s v="Desktop Tower"/>
    <n v="55"/>
    <n v="66000"/>
    <n v="48174"/>
    <s v="Stephanie Lee"/>
    <s v="Open"/>
    <n v="0.2700909090909091"/>
    <x v="0"/>
    <x v="6"/>
  </r>
  <r>
    <s v="ORD-0187"/>
    <d v="2025-10-14T00:00:00"/>
    <s v="C120"/>
    <s v="Monitor 27"/>
    <n v="31"/>
    <n v="13950"/>
    <n v="10111"/>
    <s v="Stephanie Lee"/>
    <s v="Cancelled"/>
    <n v="0.27519713261648743"/>
    <x v="0"/>
    <x v="5"/>
  </r>
  <r>
    <s v="ORD-0188"/>
    <d v="2025-10-15T00:00:00"/>
    <s v="C117"/>
    <s v="Wireless Printer"/>
    <n v="54"/>
    <n v="16200"/>
    <n v="11277"/>
    <s v="Ryan Moore"/>
    <s v="Closed"/>
    <n v="0.30388888888888888"/>
    <x v="2"/>
    <x v="5"/>
  </r>
  <r>
    <s v="ORD-0021"/>
    <d v="2024-03-18T00:00:00"/>
    <s v="C121"/>
    <s v="Laptop Pro 15"/>
    <n v="48"/>
    <n v="86400"/>
    <n v="67372"/>
    <s v="Tyler Thompson"/>
    <s v="Open"/>
    <n v="0.22023148148148147"/>
    <x v="2"/>
    <x v="3"/>
  </r>
  <r>
    <s v="ORD-0190"/>
    <d v="2025-11-04T00:00:00"/>
    <s v="C132"/>
    <s v="Server Rack Unit"/>
    <n v="5"/>
    <n v="47500"/>
    <n v="35218"/>
    <s v="Brittany Scott"/>
    <s v="Open"/>
    <n v="0.25856842105263156"/>
    <x v="1"/>
    <x v="4"/>
  </r>
  <r>
    <s v="ORD-0191"/>
    <d v="2025-11-05T00:00:00"/>
    <s v="C126"/>
    <s v="Tablet 11"/>
    <n v="10"/>
    <n v="8500"/>
    <n v="6492"/>
    <s v="Samantha Robinson"/>
    <s v="Open"/>
    <n v="0.23623529411764707"/>
    <x v="0"/>
    <x v="4"/>
  </r>
  <r>
    <s v="ORD-0192"/>
    <d v="2025-11-07T00:00:00"/>
    <s v="C128"/>
    <s v="Laptop Pro 15"/>
    <n v="15"/>
    <n v="27000"/>
    <n v="20574"/>
    <s v="Hannah Young"/>
    <s v="Open"/>
    <n v="0.23799999999999999"/>
    <x v="0"/>
    <x v="4"/>
  </r>
  <r>
    <s v="ORD-0193"/>
    <d v="2025-11-10T00:00:00"/>
    <s v="C134"/>
    <s v="Desktop Tower"/>
    <n v="15"/>
    <n v="18000"/>
    <n v="13694"/>
    <s v="Kayla Baker"/>
    <s v="Closed"/>
    <n v="0.23922222222222222"/>
    <x v="3"/>
    <x v="4"/>
  </r>
  <r>
    <s v="ORD-0194"/>
    <d v="2025-11-12T00:00:00"/>
    <s v="C133"/>
    <s v="Tablet 11"/>
    <n v="15"/>
    <n v="12750"/>
    <n v="9415"/>
    <s v="Ethan Green"/>
    <s v="Closed"/>
    <n v="0.26156862745098042"/>
    <x v="1"/>
    <x v="4"/>
  </r>
  <r>
    <s v="ORD-0195"/>
    <d v="2025-11-15T00:00:00"/>
    <s v="C109"/>
    <s v="Desktop Tower"/>
    <n v="5"/>
    <n v="6000"/>
    <n v="4546"/>
    <s v="Matthew Rodriguez"/>
    <s v="Closed"/>
    <n v="0.24233333333333335"/>
    <x v="1"/>
    <x v="4"/>
  </r>
  <r>
    <s v="ORD-0196"/>
    <d v="2025-11-24T00:00:00"/>
    <s v="C123"/>
    <s v="Wireless Printer"/>
    <n v="31"/>
    <n v="9300"/>
    <n v="6468"/>
    <s v="Kevin Harris"/>
    <s v="Open"/>
    <n v="0.30451612903225805"/>
    <x v="2"/>
    <x v="4"/>
  </r>
  <r>
    <s v="ORD-0022"/>
    <d v="2024-03-18T00:00:00"/>
    <s v="C107"/>
    <s v="Server Rack Unit"/>
    <n v="10"/>
    <n v="95000"/>
    <n v="73814"/>
    <s v="Daniel Miller"/>
    <s v="Closed"/>
    <n v="0.22301052631578946"/>
    <x v="3"/>
    <x v="3"/>
  </r>
  <r>
    <s v="ORD-0198"/>
    <d v="2025-11-28T00:00:00"/>
    <s v="C113"/>
    <s v="Monitor 27"/>
    <n v="30"/>
    <n v="13500"/>
    <n v="9408"/>
    <s v="Andrew Wilson"/>
    <s v="Closed"/>
    <n v="0.30311111111111111"/>
    <x v="0"/>
    <x v="4"/>
  </r>
  <r>
    <s v="ORD-0199"/>
    <d v="2025-12-02T00:00:00"/>
    <s v="C134"/>
    <s v="Server Rack Unit"/>
    <n v="4"/>
    <n v="38000"/>
    <n v="28697"/>
    <s v="Kayla Baker"/>
    <s v="Closed"/>
    <n v="0.24481578947368421"/>
    <x v="3"/>
    <x v="1"/>
  </r>
  <r>
    <s v="ORD-0018"/>
    <d v="2024-03-06T00:00:00"/>
    <s v="C131"/>
    <s v="Desktop Tower"/>
    <n v="44"/>
    <n v="52800"/>
    <n v="38188"/>
    <s v="Zachary Wright"/>
    <s v="Closed"/>
    <n v="0.27674242424242423"/>
    <x v="0"/>
    <x v="3"/>
  </r>
  <r>
    <s v="ORD-0201"/>
    <d v="2025-12-06T00:00:00"/>
    <s v="C115"/>
    <s v="Tablet 11"/>
    <n v="44"/>
    <n v="37400"/>
    <n v="28674"/>
    <s v="Joshua Thomas"/>
    <s v="Closed"/>
    <n v="0.23331550802139037"/>
    <x v="1"/>
    <x v="1"/>
  </r>
  <r>
    <s v="ORD-0009"/>
    <d v="2024-01-24T00:00:00"/>
    <s v="C130"/>
    <s v="Server Rack Unit"/>
    <n v="8"/>
    <n v="76000"/>
    <n v="56380"/>
    <s v="Olivia King"/>
    <s v="Open"/>
    <n v="0.25815789473684209"/>
    <x v="0"/>
    <x v="0"/>
  </r>
  <r>
    <s v="ORD-0003"/>
    <d v="2024-01-12T00:00:00"/>
    <s v="C123"/>
    <s v="Server Rack Unit"/>
    <n v="7"/>
    <n v="66500"/>
    <n v="50602"/>
    <s v="Kevin Harris"/>
    <s v="Closed"/>
    <n v="0.23906766917293232"/>
    <x v="2"/>
    <x v="0"/>
  </r>
  <r>
    <s v="ORD-0204"/>
    <d v="2025-12-16T00:00:00"/>
    <s v="C104"/>
    <s v="Monitor 27"/>
    <n v="43"/>
    <n v="19350"/>
    <n v="14282"/>
    <s v="Sarah Brown"/>
    <s v="Closed"/>
    <n v="0.26191214470284235"/>
    <x v="1"/>
    <x v="1"/>
  </r>
  <r>
    <s v="ORD-0205"/>
    <d v="2025-12-28T00:00:00"/>
    <s v="C131"/>
    <s v="Desktop Tower"/>
    <n v="16"/>
    <n v="19200"/>
    <n v="14450"/>
    <s v="Zachary Wright"/>
    <s v="Closed"/>
    <n v="0.24739583333333334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8B538A2-D4A4-4F3C-B907-789B830AD18B}" name="RevenueByRegionMonth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3:Z9" firstHeaderRow="1" firstDataRow="2" firstDataCol="1"/>
  <pivotFields count="12">
    <pivotField compact="0" outline="0" showAll="0" defaultSubtotal="0"/>
    <pivotField compact="0" numFmtId="164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numFmtId="165" outline="0" showAll="0" defaultSubtotal="0"/>
    <pivotField compact="0" numFmtId="165" outline="0" showAll="0" defaultSubtotal="0"/>
    <pivotField compact="0" outline="0" showAll="0" defaultSubtotal="0"/>
    <pivotField compact="0" outline="0" showAll="0" defaultSubtotal="0"/>
    <pivotField compact="0" numFmtId="166" outline="0" showAll="0" defaultSubtotal="0"/>
    <pivotField axis="axisRow" compact="0" outline="0" showAll="0" defaultSubtotal="0">
      <items count="4">
        <item x="3"/>
        <item x="0"/>
        <item x="2"/>
        <item x="1"/>
      </items>
    </pivotField>
    <pivotField axis="axisCol" compact="0" numFmtId="168" outline="0" showAll="0" defaultSubtotal="0">
      <items count="24">
        <item x="0"/>
        <item x="2"/>
        <item x="3"/>
        <item x="6"/>
        <item x="7"/>
        <item x="10"/>
        <item x="12"/>
        <item x="14"/>
        <item x="15"/>
        <item x="18"/>
        <item x="20"/>
        <item x="22"/>
        <item x="21"/>
        <item x="19"/>
        <item x="17"/>
        <item x="16"/>
        <item x="13"/>
        <item x="11"/>
        <item x="23"/>
        <item x="9"/>
        <item x="8"/>
        <item x="5"/>
        <item x="4"/>
        <item x="1"/>
      </items>
    </pivotField>
  </pivotFields>
  <rowFields count="1">
    <field x="10"/>
  </rowFields>
  <rowItems count="5">
    <i>
      <x/>
    </i>
    <i>
      <x v="1"/>
    </i>
    <i>
      <x v="2"/>
    </i>
    <i>
      <x v="3"/>
    </i>
    <i t="grand">
      <x/>
    </i>
  </rowItems>
  <colFields count="1">
    <field x="11"/>
  </colFields>
  <colItems count="2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 t="grand">
      <x/>
    </i>
  </colItems>
  <dataFields count="1">
    <dataField name="Total Revenue" fld="5" baseField="0" baseItem="0" numFmtId="165"/>
  </dataFields>
  <formats count="3">
    <format dxfId="3">
      <pivotArea grandRow="1" outline="0" collapsedLevelsAreSubtotals="1" fieldPosition="0"/>
    </format>
    <format dxfId="2">
      <pivotArea dataOnly="0" labelOnly="1" grandRow="1" outline="0" fieldPosition="0"/>
    </format>
    <format dxfId="1">
      <pivotArea grandCol="1"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Sales" displayName="Sales" ref="A1:L207" totalsRowCount="1" headerRowDxfId="35" dataDxfId="33" totalsRowDxfId="31" headerRowBorderDxfId="34" tableBorderDxfId="32" totalsRowBorderDxfId="30">
  <autoFilter ref="A1:L206" xr:uid="{00000000-0009-0000-0100-000003000000}"/>
  <tableColumns count="12">
    <tableColumn id="1" xr3:uid="{00000000-0010-0000-0000-000001000000}" name="Order ID" totalsRowLabel="Closed Sales Total" dataDxfId="29" totalsRowDxfId="28"/>
    <tableColumn id="2" xr3:uid="{00000000-0010-0000-0000-000002000000}" name="Date" dataDxfId="27" totalsRowDxfId="26"/>
    <tableColumn id="3" xr3:uid="{00000000-0010-0000-0000-000003000000}" name="Customer ID" dataDxfId="25" totalsRowDxfId="24"/>
    <tableColumn id="4" xr3:uid="{00000000-0010-0000-0000-000004000000}" name="Product" dataDxfId="23" totalsRowDxfId="22"/>
    <tableColumn id="5" xr3:uid="{00000000-0010-0000-0000-000005000000}" name="Quantity" dataDxfId="21" totalsRowDxfId="20"/>
    <tableColumn id="6" xr3:uid="{00000000-0010-0000-0000-000006000000}" name="Revenue" totalsRowFunction="custom" dataDxfId="19" totalsRowDxfId="18">
      <totalsRowFormula>SUMIF(Sales[Status],"Closed",Sales[Revenue])</totalsRowFormula>
    </tableColumn>
    <tableColumn id="7" xr3:uid="{00000000-0010-0000-0000-000007000000}" name="Cost" dataDxfId="17" totalsRowDxfId="16"/>
    <tableColumn id="8" xr3:uid="{00000000-0010-0000-0000-000008000000}" name="Customer Name" dataDxfId="15" totalsRowDxfId="14"/>
    <tableColumn id="9" xr3:uid="{00000000-0010-0000-0000-000009000000}" name="Status" dataDxfId="13" totalsRowDxfId="12"/>
    <tableColumn id="10" xr3:uid="{946CD343-2043-4DFA-AEFF-4DD943393462}" name="Profit Margin" dataDxfId="11" totalsRowDxfId="10">
      <calculatedColumnFormula>IFERROR((Sales[[#This Row],[Revenue]]-Sales[[#This Row],[Cost]])/Sales[[#This Row],[Revenue]],0)</calculatedColumnFormula>
    </tableColumn>
    <tableColumn id="11" xr3:uid="{ACD6E1A2-651E-4D2C-B0DB-1DB0A8F9162F}" name="Region" totalsRowFunction="count" dataDxfId="9" totalsRowDxfId="8">
      <calculatedColumnFormula>_xlfn.IFNA(_xlfn.XLOOKUP(Sales[[#This Row],[Customer ID]],Customers[Customer ID],Customers[Region]),"Not found")</calculatedColumnFormula>
    </tableColumn>
    <tableColumn id="12" xr3:uid="{25EF09F5-8016-4F01-B543-63D34A85D1D1}" name="Month" dataDxfId="7" totalsRowDxfId="6">
      <calculatedColumnFormula>DATE(YEAR(Sales[[#This Row],[Date]]),MONTH(Sales[[#This Row],[Date]]),1)</calculatedColumnFormula>
    </tableColumn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Customers" displayName="Customers" ref="A1:H41" totalsRowShown="0">
  <autoFilter ref="A1:H41" xr:uid="{00000000-0009-0000-0100-000001000000}"/>
  <tableColumns count="8">
    <tableColumn id="1" xr3:uid="{00000000-0010-0000-0100-000001000000}" name="Customer ID"/>
    <tableColumn id="2" xr3:uid="{00000000-0010-0000-0100-000002000000}" name="Full Name"/>
    <tableColumn id="7" xr3:uid="{560D3BBD-2EA9-4345-A212-21C2D07F979E}" name="First Name" dataDxfId="5">
      <calculatedColumnFormula>IFERROR(_xlfn.TEXTBEFORE(TRIM(Customers[[#This Row],[Full Name]])," "),TRIM(Customers[[#This Row],[Full Name]]))</calculatedColumnFormula>
    </tableColumn>
    <tableColumn id="8" xr3:uid="{F4D5B760-61A0-44C4-9290-B85417C483B5}" name="Last Name" dataDxfId="4">
      <calculatedColumnFormula>IFERROR(_xlfn.TEXTAFTER(TRIM(Customers[[#This Row],[Full Name]])," ",-1),"")</calculatedColumnFormula>
    </tableColumn>
    <tableColumn id="3" xr3:uid="{00000000-0010-0000-0100-000003000000}" name="Email"/>
    <tableColumn id="4" xr3:uid="{00000000-0010-0000-0100-000004000000}" name="Phone"/>
    <tableColumn id="5" xr3:uid="{00000000-0010-0000-0100-000005000000}" name="City"/>
    <tableColumn id="6" xr3:uid="{00000000-0010-0000-0100-000006000000}" name="Region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Products" displayName="Products" ref="A1:C7" totalsRowShown="0">
  <autoFilter ref="A1:C7" xr:uid="{00000000-0009-0000-0100-000002000000}"/>
  <tableColumns count="3">
    <tableColumn id="1" xr3:uid="{00000000-0010-0000-0200-000001000000}" name="Product"/>
    <tableColumn id="2" xr3:uid="{00000000-0010-0000-0200-000002000000}" name="Unit Price"/>
    <tableColumn id="3" xr3:uid="{00000000-0010-0000-0200-000003000000}" name="Unit Cos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8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8.6640625" defaultRowHeight="14.4" x14ac:dyDescent="0.3"/>
  <cols>
    <col min="1" max="1" width="18.21875" bestFit="1" customWidth="1"/>
    <col min="2" max="2" width="10.5546875" bestFit="1" customWidth="1"/>
    <col min="3" max="3" width="14.33203125" bestFit="1" customWidth="1"/>
    <col min="4" max="4" width="14.88671875" bestFit="1" customWidth="1"/>
    <col min="5" max="6" width="11" bestFit="1" customWidth="1"/>
    <col min="7" max="7" width="7.44140625" bestFit="1" customWidth="1"/>
    <col min="8" max="8" width="20.33203125" customWidth="1"/>
    <col min="9" max="9" width="9.21875" bestFit="1" customWidth="1"/>
    <col min="10" max="10" width="15.44140625" bestFit="1" customWidth="1"/>
    <col min="11" max="11" width="9.44140625" bestFit="1" customWidth="1"/>
    <col min="12" max="12" width="13.88671875" customWidth="1"/>
  </cols>
  <sheetData>
    <row r="1" spans="1:13" ht="17.399999999999999" thickBot="1" x14ac:dyDescent="0.45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3" t="s">
        <v>7</v>
      </c>
      <c r="I1" s="23" t="s">
        <v>8</v>
      </c>
      <c r="J1" s="23" t="s">
        <v>389</v>
      </c>
      <c r="K1" s="23" t="s">
        <v>266</v>
      </c>
      <c r="L1" s="23" t="s">
        <v>395</v>
      </c>
      <c r="M1" s="24"/>
    </row>
    <row r="2" spans="1:13" ht="16.8" x14ac:dyDescent="0.4">
      <c r="A2" s="25" t="s">
        <v>9</v>
      </c>
      <c r="B2" s="26">
        <v>45294</v>
      </c>
      <c r="C2" s="25" t="s">
        <v>66</v>
      </c>
      <c r="D2" s="25" t="s">
        <v>10</v>
      </c>
      <c r="E2" s="25">
        <v>15</v>
      </c>
      <c r="F2" s="27">
        <f>E2*VLOOKUP(D2,Products!$A$2:$C$7,2,FALSE())</f>
        <v>12750</v>
      </c>
      <c r="G2" s="27">
        <v>9101</v>
      </c>
      <c r="H2" s="25" t="str">
        <f>VLOOKUP(C2,'Customers'!$A$2:$H$41,2,FALSE())</f>
        <v>David Jones</v>
      </c>
      <c r="I2" s="25" t="s">
        <v>11</v>
      </c>
      <c r="J2" s="28">
        <f>IFERROR((Sales[[#This Row],[Revenue]]-Sales[[#This Row],[Cost]])/Sales[[#This Row],[Revenue]],0)</f>
        <v>0.28619607843137257</v>
      </c>
      <c r="K2" s="28" t="str">
        <f>_xlfn.IFNA(_xlfn.XLOOKUP(Sales[[#This Row],[Customer ID]],Customers[Customer ID],Customers[Region]),"Not found")</f>
        <v>Northeast</v>
      </c>
      <c r="L2" s="29">
        <f>DATE(YEAR(Sales[[#This Row],[Date]]),MONTH(Sales[[#This Row],[Date]]),1)</f>
        <v>45292</v>
      </c>
      <c r="M2" s="24"/>
    </row>
    <row r="3" spans="1:13" ht="16.8" x14ac:dyDescent="0.4">
      <c r="A3" s="30" t="s">
        <v>12</v>
      </c>
      <c r="B3" s="31">
        <v>45295</v>
      </c>
      <c r="C3" s="30" t="s">
        <v>13</v>
      </c>
      <c r="D3" s="30" t="s">
        <v>14</v>
      </c>
      <c r="E3" s="30">
        <v>17</v>
      </c>
      <c r="F3" s="32">
        <f>E3*VLOOKUP(D3,Products!$A$2:$C$7,2,FALSE())</f>
        <v>20400</v>
      </c>
      <c r="G3" s="32">
        <v>14832</v>
      </c>
      <c r="H3" s="30" t="str">
        <f>VLOOKUP(C3,'Customers'!$A$2:$H$41,2,FALSE())</f>
        <v>Zachary Wright</v>
      </c>
      <c r="I3" s="30" t="s">
        <v>15</v>
      </c>
      <c r="J3" s="33">
        <f>IFERROR((Sales[[#This Row],[Revenue]]-Sales[[#This Row],[Cost]])/Sales[[#This Row],[Revenue]],0)</f>
        <v>0.27294117647058824</v>
      </c>
      <c r="K3" s="33" t="str">
        <f>_xlfn.IFNA(_xlfn.XLOOKUP(Sales[[#This Row],[Customer ID]],Customers[Customer ID],Customers[Region]),"Not found")</f>
        <v>Northeast</v>
      </c>
      <c r="L3" s="34">
        <f>DATE(YEAR(Sales[[#This Row],[Date]]),MONTH(Sales[[#This Row],[Date]]),1)</f>
        <v>45292</v>
      </c>
      <c r="M3" s="24"/>
    </row>
    <row r="4" spans="1:13" ht="16.8" x14ac:dyDescent="0.4">
      <c r="A4" s="25" t="s">
        <v>259</v>
      </c>
      <c r="B4" s="26">
        <v>46004</v>
      </c>
      <c r="C4" s="25" t="s">
        <v>26</v>
      </c>
      <c r="D4" s="25" t="s">
        <v>52</v>
      </c>
      <c r="E4" s="25">
        <v>49</v>
      </c>
      <c r="F4" s="27">
        <f>E4*VLOOKUP(D4,Products!$A$2:$C$7,2,FALSE())</f>
        <v>88200</v>
      </c>
      <c r="G4" s="27">
        <v>65561</v>
      </c>
      <c r="H4" s="25" t="str">
        <f>VLOOKUP(C4,'Customers'!$A$2:$H$41,2,FALSE())</f>
        <v>Alexis Carter</v>
      </c>
      <c r="I4" s="25" t="s">
        <v>15</v>
      </c>
      <c r="J4" s="28">
        <f>IFERROR((Sales[[#This Row],[Revenue]]-Sales[[#This Row],[Cost]])/Sales[[#This Row],[Revenue]],0)</f>
        <v>0.25667800453514739</v>
      </c>
      <c r="K4" s="28" t="str">
        <f>_xlfn.IFNA(_xlfn.XLOOKUP(Sales[[#This Row],[Customer ID]],Customers[Customer ID],Customers[Region]),"Not found")</f>
        <v>Northeast</v>
      </c>
      <c r="L4" s="29">
        <f>DATE(YEAR(Sales[[#This Row],[Date]]),MONTH(Sales[[#This Row],[Date]]),1)</f>
        <v>45992</v>
      </c>
      <c r="M4" s="24"/>
    </row>
    <row r="5" spans="1:13" ht="16.8" x14ac:dyDescent="0.4">
      <c r="A5" s="30" t="s">
        <v>19</v>
      </c>
      <c r="B5" s="31">
        <v>45304</v>
      </c>
      <c r="C5" s="30" t="s">
        <v>20</v>
      </c>
      <c r="D5" s="30" t="s">
        <v>10</v>
      </c>
      <c r="E5" s="30">
        <v>35</v>
      </c>
      <c r="F5" s="32">
        <f>E5*VLOOKUP(D5,Products!$A$2:$C$7,2,FALSE())</f>
        <v>29750</v>
      </c>
      <c r="G5" s="32">
        <v>21708</v>
      </c>
      <c r="H5" s="30" t="str">
        <f>VLOOKUP(C5,'Customers'!$A$2:$H$41,2,FALSE())</f>
        <v>Andrew Wilson</v>
      </c>
      <c r="I5" s="30" t="s">
        <v>15</v>
      </c>
      <c r="J5" s="33">
        <f>IFERROR((Sales[[#This Row],[Revenue]]-Sales[[#This Row],[Cost]])/Sales[[#This Row],[Revenue]],0)</f>
        <v>0.27031932773109246</v>
      </c>
      <c r="K5" s="33" t="str">
        <f>_xlfn.IFNA(_xlfn.XLOOKUP(Sales[[#This Row],[Customer ID]],Customers[Customer ID],Customers[Region]),"Not found")</f>
        <v>Northeast</v>
      </c>
      <c r="L5" s="34">
        <f>DATE(YEAR(Sales[[#This Row],[Date]]),MONTH(Sales[[#This Row],[Date]]),1)</f>
        <v>45292</v>
      </c>
      <c r="M5" s="24"/>
    </row>
    <row r="6" spans="1:13" ht="16.8" x14ac:dyDescent="0.4">
      <c r="A6" s="25" t="s">
        <v>21</v>
      </c>
      <c r="B6" s="26">
        <v>45305</v>
      </c>
      <c r="C6" s="25" t="s">
        <v>22</v>
      </c>
      <c r="D6" s="25" t="s">
        <v>10</v>
      </c>
      <c r="E6" s="25">
        <v>10</v>
      </c>
      <c r="F6" s="27">
        <f>E6*VLOOKUP(D6,Products!$A$2:$C$7,2,FALSE())</f>
        <v>8500</v>
      </c>
      <c r="G6" s="27">
        <v>6342</v>
      </c>
      <c r="H6" s="25" t="str">
        <f>VLOOKUP(C6,'Customers'!$A$2:$H$41,2,FALSE())</f>
        <v>Nicole White</v>
      </c>
      <c r="I6" s="25" t="s">
        <v>15</v>
      </c>
      <c r="J6" s="28">
        <f>IFERROR((Sales[[#This Row],[Revenue]]-Sales[[#This Row],[Cost]])/Sales[[#This Row],[Revenue]],0)</f>
        <v>0.25388235294117645</v>
      </c>
      <c r="K6" s="28" t="str">
        <f>_xlfn.IFNA(_xlfn.XLOOKUP(Sales[[#This Row],[Customer ID]],Customers[Customer ID],Customers[Region]),"Not found")</f>
        <v>West</v>
      </c>
      <c r="L6" s="29">
        <f>DATE(YEAR(Sales[[#This Row],[Date]]),MONTH(Sales[[#This Row],[Date]]),1)</f>
        <v>45292</v>
      </c>
      <c r="M6" s="24"/>
    </row>
    <row r="7" spans="1:13" ht="16.8" x14ac:dyDescent="0.4">
      <c r="A7" s="30" t="s">
        <v>23</v>
      </c>
      <c r="B7" s="31">
        <v>45307</v>
      </c>
      <c r="C7" s="30" t="s">
        <v>20</v>
      </c>
      <c r="D7" s="30" t="s">
        <v>24</v>
      </c>
      <c r="E7" s="30">
        <v>49</v>
      </c>
      <c r="F7" s="32">
        <f>E7*VLOOKUP(D7,Products!$A$2:$C$7,2,FALSE())</f>
        <v>22050</v>
      </c>
      <c r="G7" s="32">
        <v>15879</v>
      </c>
      <c r="H7" s="30" t="str">
        <f>VLOOKUP(C7,'Customers'!$A$2:$H$41,2,FALSE())</f>
        <v>Andrew Wilson</v>
      </c>
      <c r="I7" s="30" t="s">
        <v>15</v>
      </c>
      <c r="J7" s="33">
        <f>IFERROR((Sales[[#This Row],[Revenue]]-Sales[[#This Row],[Cost]])/Sales[[#This Row],[Revenue]],0)</f>
        <v>0.2798639455782313</v>
      </c>
      <c r="K7" s="33" t="str">
        <f>_xlfn.IFNA(_xlfn.XLOOKUP(Sales[[#This Row],[Customer ID]],Customers[Customer ID],Customers[Region]),"Not found")</f>
        <v>Northeast</v>
      </c>
      <c r="L7" s="34">
        <f>DATE(YEAR(Sales[[#This Row],[Date]]),MONTH(Sales[[#This Row],[Date]]),1)</f>
        <v>45292</v>
      </c>
      <c r="M7" s="24"/>
    </row>
    <row r="8" spans="1:13" ht="16.8" x14ac:dyDescent="0.4">
      <c r="A8" s="25" t="s">
        <v>25</v>
      </c>
      <c r="B8" s="26">
        <v>45307</v>
      </c>
      <c r="C8" s="25" t="s">
        <v>26</v>
      </c>
      <c r="D8" s="25" t="s">
        <v>27</v>
      </c>
      <c r="E8" s="25">
        <v>58</v>
      </c>
      <c r="F8" s="27">
        <f>E8*VLOOKUP(D8,Products!$A$2:$C$7,2,FALSE())</f>
        <v>17400</v>
      </c>
      <c r="G8" s="27">
        <v>12120</v>
      </c>
      <c r="H8" s="25" t="str">
        <f>VLOOKUP(C8,'Customers'!$A$2:$H$41,2,FALSE())</f>
        <v>Alexis Carter</v>
      </c>
      <c r="I8" s="25" t="s">
        <v>15</v>
      </c>
      <c r="J8" s="28">
        <f>IFERROR((Sales[[#This Row],[Revenue]]-Sales[[#This Row],[Cost]])/Sales[[#This Row],[Revenue]],0)</f>
        <v>0.30344827586206896</v>
      </c>
      <c r="K8" s="28" t="str">
        <f>_xlfn.IFNA(_xlfn.XLOOKUP(Sales[[#This Row],[Customer ID]],Customers[Customer ID],Customers[Region]),"Not found")</f>
        <v>Northeast</v>
      </c>
      <c r="L8" s="29">
        <f>DATE(YEAR(Sales[[#This Row],[Date]]),MONTH(Sales[[#This Row],[Date]]),1)</f>
        <v>45292</v>
      </c>
      <c r="M8" s="24"/>
    </row>
    <row r="9" spans="1:13" ht="16.8" x14ac:dyDescent="0.4">
      <c r="A9" s="30" t="s">
        <v>28</v>
      </c>
      <c r="B9" s="31">
        <v>45312</v>
      </c>
      <c r="C9" s="30" t="s">
        <v>29</v>
      </c>
      <c r="D9" s="30" t="s">
        <v>24</v>
      </c>
      <c r="E9" s="30">
        <v>58</v>
      </c>
      <c r="F9" s="32">
        <f>E9*VLOOKUP(D9,Products!$A$2:$C$7,2,FALSE())</f>
        <v>26100</v>
      </c>
      <c r="G9" s="32">
        <v>18737</v>
      </c>
      <c r="H9" s="30" t="str">
        <f>VLOOKUP(C9,'Customers'!$A$2:$H$41,2,FALSE())</f>
        <v>Jessica Garcia</v>
      </c>
      <c r="I9" s="30" t="s">
        <v>15</v>
      </c>
      <c r="J9" s="33">
        <f>IFERROR((Sales[[#This Row],[Revenue]]-Sales[[#This Row],[Cost]])/Sales[[#This Row],[Revenue]],0)</f>
        <v>0.28210727969348659</v>
      </c>
      <c r="K9" s="33" t="str">
        <f>_xlfn.IFNA(_xlfn.XLOOKUP(Sales[[#This Row],[Customer ID]],Customers[Customer ID],Customers[Region]),"Not found")</f>
        <v>South</v>
      </c>
      <c r="L9" s="34">
        <f>DATE(YEAR(Sales[[#This Row],[Date]]),MONTH(Sales[[#This Row],[Date]]),1)</f>
        <v>45292</v>
      </c>
      <c r="M9" s="24"/>
    </row>
    <row r="10" spans="1:13" ht="16.8" x14ac:dyDescent="0.4">
      <c r="A10" s="25" t="s">
        <v>258</v>
      </c>
      <c r="B10" s="26">
        <v>45998</v>
      </c>
      <c r="C10" s="25" t="s">
        <v>34</v>
      </c>
      <c r="D10" s="25" t="s">
        <v>52</v>
      </c>
      <c r="E10" s="25">
        <v>58</v>
      </c>
      <c r="F10" s="27">
        <f>E10*VLOOKUP(D10,Products!$A$2:$C$7,2,FALSE())</f>
        <v>104400</v>
      </c>
      <c r="G10" s="27">
        <v>79268</v>
      </c>
      <c r="H10" s="25" t="str">
        <f>VLOOKUP(C10,'Customers'!$A$2:$H$41,2,FALSE())</f>
        <v>Victoria Nelson</v>
      </c>
      <c r="I10" s="25" t="s">
        <v>11</v>
      </c>
      <c r="J10" s="28">
        <f>IFERROR((Sales[[#This Row],[Revenue]]-Sales[[#This Row],[Cost]])/Sales[[#This Row],[Revenue]],0)</f>
        <v>0.240727969348659</v>
      </c>
      <c r="K10" s="28" t="str">
        <f>_xlfn.IFNA(_xlfn.XLOOKUP(Sales[[#This Row],[Customer ID]],Customers[Customer ID],Customers[Region]),"Not found")</f>
        <v>Northeast</v>
      </c>
      <c r="L10" s="29">
        <f>DATE(YEAR(Sales[[#This Row],[Date]]),MONTH(Sales[[#This Row],[Date]]),1)</f>
        <v>45992</v>
      </c>
      <c r="M10" s="24"/>
    </row>
    <row r="11" spans="1:13" ht="16.8" x14ac:dyDescent="0.4">
      <c r="A11" s="30" t="s">
        <v>32</v>
      </c>
      <c r="B11" s="31">
        <v>45327</v>
      </c>
      <c r="C11" s="30" t="s">
        <v>31</v>
      </c>
      <c r="D11" s="30" t="s">
        <v>27</v>
      </c>
      <c r="E11" s="30">
        <v>56</v>
      </c>
      <c r="F11" s="32">
        <f>E11*VLOOKUP(D11,Products!$A$2:$C$7,2,FALSE())</f>
        <v>16800</v>
      </c>
      <c r="G11" s="32">
        <v>12023</v>
      </c>
      <c r="H11" s="30" t="str">
        <f>VLOOKUP(C11,'Customers'!$A$2:$H$41,2,FALSE())</f>
        <v>Olivia King</v>
      </c>
      <c r="I11" s="30" t="s">
        <v>15</v>
      </c>
      <c r="J11" s="33">
        <f>IFERROR((Sales[[#This Row],[Revenue]]-Sales[[#This Row],[Cost]])/Sales[[#This Row],[Revenue]],0)</f>
        <v>0.2843452380952381</v>
      </c>
      <c r="K11" s="33" t="str">
        <f>_xlfn.IFNA(_xlfn.XLOOKUP(Sales[[#This Row],[Customer ID]],Customers[Customer ID],Customers[Region]),"Not found")</f>
        <v>Northeast</v>
      </c>
      <c r="L11" s="34">
        <f>DATE(YEAR(Sales[[#This Row],[Date]]),MONTH(Sales[[#This Row],[Date]]),1)</f>
        <v>45323</v>
      </c>
      <c r="M11" s="24"/>
    </row>
    <row r="12" spans="1:13" ht="16.8" x14ac:dyDescent="0.4">
      <c r="A12" s="25" t="s">
        <v>33</v>
      </c>
      <c r="B12" s="26">
        <v>45327</v>
      </c>
      <c r="C12" s="25" t="s">
        <v>34</v>
      </c>
      <c r="D12" s="25" t="s">
        <v>27</v>
      </c>
      <c r="E12" s="25">
        <v>13</v>
      </c>
      <c r="F12" s="27">
        <f>E12*VLOOKUP(D12,Products!$A$2:$C$7,2,FALSE())</f>
        <v>3900</v>
      </c>
      <c r="G12" s="27">
        <v>2660</v>
      </c>
      <c r="H12" s="25" t="str">
        <f>VLOOKUP(C12,'Customers'!$A$2:$H$41,2,FALSE())</f>
        <v>Victoria Nelson</v>
      </c>
      <c r="I12" s="25" t="s">
        <v>15</v>
      </c>
      <c r="J12" s="28">
        <f>IFERROR((Sales[[#This Row],[Revenue]]-Sales[[#This Row],[Cost]])/Sales[[#This Row],[Revenue]],0)</f>
        <v>0.31794871794871793</v>
      </c>
      <c r="K12" s="28" t="str">
        <f>_xlfn.IFNA(_xlfn.XLOOKUP(Sales[[#This Row],[Customer ID]],Customers[Customer ID],Customers[Region]),"Not found")</f>
        <v>Northeast</v>
      </c>
      <c r="L12" s="29">
        <f>DATE(YEAR(Sales[[#This Row],[Date]]),MONTH(Sales[[#This Row],[Date]]),1)</f>
        <v>45323</v>
      </c>
      <c r="M12" s="24"/>
    </row>
    <row r="13" spans="1:13" ht="16.8" x14ac:dyDescent="0.4">
      <c r="A13" s="30" t="s">
        <v>35</v>
      </c>
      <c r="B13" s="31">
        <v>45327</v>
      </c>
      <c r="C13" s="30" t="s">
        <v>20</v>
      </c>
      <c r="D13" s="30" t="s">
        <v>18</v>
      </c>
      <c r="E13" s="30">
        <v>5</v>
      </c>
      <c r="F13" s="32">
        <f>E13*VLOOKUP(D13,Products!$A$2:$C$7,2,FALSE())</f>
        <v>47500</v>
      </c>
      <c r="G13" s="32">
        <v>34868</v>
      </c>
      <c r="H13" s="30" t="str">
        <f>VLOOKUP(C13,'Customers'!$A$2:$H$41,2,FALSE())</f>
        <v>Andrew Wilson</v>
      </c>
      <c r="I13" s="30" t="s">
        <v>15</v>
      </c>
      <c r="J13" s="33">
        <f>IFERROR((Sales[[#This Row],[Revenue]]-Sales[[#This Row],[Cost]])/Sales[[#This Row],[Revenue]],0)</f>
        <v>0.26593684210526314</v>
      </c>
      <c r="K13" s="33" t="str">
        <f>_xlfn.IFNA(_xlfn.XLOOKUP(Sales[[#This Row],[Customer ID]],Customers[Customer ID],Customers[Region]),"Not found")</f>
        <v>Northeast</v>
      </c>
      <c r="L13" s="34">
        <f>DATE(YEAR(Sales[[#This Row],[Date]]),MONTH(Sales[[#This Row],[Date]]),1)</f>
        <v>45323</v>
      </c>
      <c r="M13" s="24"/>
    </row>
    <row r="14" spans="1:13" ht="16.8" x14ac:dyDescent="0.4">
      <c r="A14" s="25" t="s">
        <v>36</v>
      </c>
      <c r="B14" s="26">
        <v>45329</v>
      </c>
      <c r="C14" s="25" t="s">
        <v>37</v>
      </c>
      <c r="D14" s="25" t="s">
        <v>24</v>
      </c>
      <c r="E14" s="25">
        <v>20</v>
      </c>
      <c r="F14" s="27">
        <f>E14*VLOOKUP(D14,Products!$A$2:$C$7,2,FALSE())</f>
        <v>9000</v>
      </c>
      <c r="G14" s="27">
        <v>6364</v>
      </c>
      <c r="H14" s="25" t="str">
        <f>VLOOKUP(C14,'Customers'!$A$2:$H$41,2,FALSE())</f>
        <v>Ethan Green</v>
      </c>
      <c r="I14" s="25" t="s">
        <v>15</v>
      </c>
      <c r="J14" s="28">
        <f>IFERROR((Sales[[#This Row],[Revenue]]-Sales[[#This Row],[Cost]])/Sales[[#This Row],[Revenue]],0)</f>
        <v>0.29288888888888887</v>
      </c>
      <c r="K14" s="28" t="str">
        <f>_xlfn.IFNA(_xlfn.XLOOKUP(Sales[[#This Row],[Customer ID]],Customers[Customer ID],Customers[Region]),"Not found")</f>
        <v>West</v>
      </c>
      <c r="L14" s="29">
        <f>DATE(YEAR(Sales[[#This Row],[Date]]),MONTH(Sales[[#This Row],[Date]]),1)</f>
        <v>45323</v>
      </c>
      <c r="M14" s="24"/>
    </row>
    <row r="15" spans="1:13" ht="16.8" x14ac:dyDescent="0.4">
      <c r="A15" s="30" t="s">
        <v>38</v>
      </c>
      <c r="B15" s="31">
        <v>45333</v>
      </c>
      <c r="C15" s="30" t="s">
        <v>39</v>
      </c>
      <c r="D15" s="30" t="s">
        <v>24</v>
      </c>
      <c r="E15" s="30">
        <v>31</v>
      </c>
      <c r="F15" s="32">
        <f>E15*VLOOKUP(D15,Products!$A$2:$C$7,2,FALSE())</f>
        <v>13950</v>
      </c>
      <c r="G15" s="32">
        <v>9874</v>
      </c>
      <c r="H15" s="30" t="str">
        <f>VLOOKUP(C15,'Customers'!$A$2:$H$41,2,FALSE())</f>
        <v>Aaron Adams</v>
      </c>
      <c r="I15" s="30" t="s">
        <v>15</v>
      </c>
      <c r="J15" s="33">
        <f>IFERROR((Sales[[#This Row],[Revenue]]-Sales[[#This Row],[Cost]])/Sales[[#This Row],[Revenue]],0)</f>
        <v>0.29218637992831542</v>
      </c>
      <c r="K15" s="33" t="str">
        <f>_xlfn.IFNA(_xlfn.XLOOKUP(Sales[[#This Row],[Customer ID]],Customers[Customer ID],Customers[Region]),"Not found")</f>
        <v>Northeast</v>
      </c>
      <c r="L15" s="34">
        <f>DATE(YEAR(Sales[[#This Row],[Date]]),MONTH(Sales[[#This Row],[Date]]),1)</f>
        <v>45323</v>
      </c>
      <c r="M15" s="24"/>
    </row>
    <row r="16" spans="1:13" ht="16.8" x14ac:dyDescent="0.4">
      <c r="A16" s="25" t="s">
        <v>40</v>
      </c>
      <c r="B16" s="26">
        <v>45342</v>
      </c>
      <c r="C16" s="25" t="s">
        <v>13</v>
      </c>
      <c r="D16" s="25" t="s">
        <v>27</v>
      </c>
      <c r="E16" s="25">
        <v>47</v>
      </c>
      <c r="F16" s="27">
        <f>E16*VLOOKUP(D16,Products!$A$2:$C$7,2,FALSE())</f>
        <v>14100</v>
      </c>
      <c r="G16" s="27">
        <v>9507</v>
      </c>
      <c r="H16" s="25" t="str">
        <f>VLOOKUP(C16,'Customers'!$A$2:$H$41,2,FALSE())</f>
        <v>Zachary Wright</v>
      </c>
      <c r="I16" s="25" t="s">
        <v>15</v>
      </c>
      <c r="J16" s="28">
        <f>IFERROR((Sales[[#This Row],[Revenue]]-Sales[[#This Row],[Cost]])/Sales[[#This Row],[Revenue]],0)</f>
        <v>0.32574468085106384</v>
      </c>
      <c r="K16" s="28" t="str">
        <f>_xlfn.IFNA(_xlfn.XLOOKUP(Sales[[#This Row],[Customer ID]],Customers[Customer ID],Customers[Region]),"Not found")</f>
        <v>Northeast</v>
      </c>
      <c r="L16" s="29">
        <f>DATE(YEAR(Sales[[#This Row],[Date]]),MONTH(Sales[[#This Row],[Date]]),1)</f>
        <v>45323</v>
      </c>
      <c r="M16" s="24"/>
    </row>
    <row r="17" spans="1:13" ht="16.8" x14ac:dyDescent="0.4">
      <c r="A17" s="30" t="s">
        <v>41</v>
      </c>
      <c r="B17" s="31">
        <v>45348</v>
      </c>
      <c r="C17" s="30" t="s">
        <v>42</v>
      </c>
      <c r="D17" s="30" t="s">
        <v>10</v>
      </c>
      <c r="E17" s="30">
        <v>38</v>
      </c>
      <c r="F17" s="32">
        <f>E17*VLOOKUP(D17,Products!$A$2:$C$7,2,FALSE())</f>
        <v>32300</v>
      </c>
      <c r="G17" s="32">
        <v>23140</v>
      </c>
      <c r="H17" s="30" t="str">
        <f>VLOOKUP(C17,'Customers'!$A$2:$H$41,2,FALSE())</f>
        <v>Daniel Miller</v>
      </c>
      <c r="I17" s="30" t="s">
        <v>11</v>
      </c>
      <c r="J17" s="33">
        <f>IFERROR((Sales[[#This Row],[Revenue]]-Sales[[#This Row],[Cost]])/Sales[[#This Row],[Revenue]],0)</f>
        <v>0.28359133126934982</v>
      </c>
      <c r="K17" s="33" t="str">
        <f>_xlfn.IFNA(_xlfn.XLOOKUP(Sales[[#This Row],[Customer ID]],Customers[Customer ID],Customers[Region]),"Not found")</f>
        <v>Midwest</v>
      </c>
      <c r="L17" s="34">
        <f>DATE(YEAR(Sales[[#This Row],[Date]]),MONTH(Sales[[#This Row],[Date]]),1)</f>
        <v>45323</v>
      </c>
      <c r="M17" s="24"/>
    </row>
    <row r="18" spans="1:13" ht="16.8" x14ac:dyDescent="0.4">
      <c r="A18" s="25" t="s">
        <v>43</v>
      </c>
      <c r="B18" s="26">
        <v>45357</v>
      </c>
      <c r="C18" s="25" t="s">
        <v>44</v>
      </c>
      <c r="D18" s="25" t="s">
        <v>27</v>
      </c>
      <c r="E18" s="25">
        <v>54</v>
      </c>
      <c r="F18" s="27">
        <f>E18*VLOOKUP(D18,Products!$A$2:$C$7,2,FALSE())</f>
        <v>16200</v>
      </c>
      <c r="G18" s="27">
        <v>11592</v>
      </c>
      <c r="H18" s="25" t="str">
        <f>VLOOKUP(C18,'Customers'!$A$2:$H$41,2,FALSE())</f>
        <v>James Smith</v>
      </c>
      <c r="I18" s="25" t="s">
        <v>15</v>
      </c>
      <c r="J18" s="28">
        <f>IFERROR((Sales[[#This Row],[Revenue]]-Sales[[#This Row],[Cost]])/Sales[[#This Row],[Revenue]],0)</f>
        <v>0.28444444444444444</v>
      </c>
      <c r="K18" s="28" t="str">
        <f>_xlfn.IFNA(_xlfn.XLOOKUP(Sales[[#This Row],[Customer ID]],Customers[Customer ID],Customers[Region]),"Not found")</f>
        <v>Midwest</v>
      </c>
      <c r="L18" s="29">
        <f>DATE(YEAR(Sales[[#This Row],[Date]]),MONTH(Sales[[#This Row],[Date]]),1)</f>
        <v>45352</v>
      </c>
      <c r="M18" s="24"/>
    </row>
    <row r="19" spans="1:13" ht="16.8" x14ac:dyDescent="0.4">
      <c r="A19" s="30" t="s">
        <v>256</v>
      </c>
      <c r="B19" s="31">
        <v>45995</v>
      </c>
      <c r="C19" s="30" t="s">
        <v>131</v>
      </c>
      <c r="D19" s="30" t="s">
        <v>14</v>
      </c>
      <c r="E19" s="30">
        <v>51</v>
      </c>
      <c r="F19" s="32">
        <f>E19*VLOOKUP(D19,Products!$A$2:$C$7,2,FALSE())</f>
        <v>61200</v>
      </c>
      <c r="G19" s="32">
        <v>45567</v>
      </c>
      <c r="H19" s="30" t="str">
        <f>VLOOKUP(C19,'Customers'!$A$2:$H$41,2,FALSE())</f>
        <v>Lauren Taylor</v>
      </c>
      <c r="I19" s="30" t="s">
        <v>15</v>
      </c>
      <c r="J19" s="33">
        <f>IFERROR((Sales[[#This Row],[Revenue]]-Sales[[#This Row],[Cost]])/Sales[[#This Row],[Revenue]],0)</f>
        <v>0.25544117647058823</v>
      </c>
      <c r="K19" s="33" t="str">
        <f>_xlfn.IFNA(_xlfn.XLOOKUP(Sales[[#This Row],[Customer ID]],Customers[Customer ID],Customers[Region]),"Not found")</f>
        <v>Midwest</v>
      </c>
      <c r="L19" s="34">
        <f>DATE(YEAR(Sales[[#This Row],[Date]]),MONTH(Sales[[#This Row],[Date]]),1)</f>
        <v>45992</v>
      </c>
      <c r="M19" s="24"/>
    </row>
    <row r="20" spans="1:13" ht="16.8" x14ac:dyDescent="0.4">
      <c r="A20" s="25" t="s">
        <v>46</v>
      </c>
      <c r="B20" s="26">
        <v>45368</v>
      </c>
      <c r="C20" s="25" t="s">
        <v>37</v>
      </c>
      <c r="D20" s="25" t="s">
        <v>18</v>
      </c>
      <c r="E20" s="25">
        <v>4</v>
      </c>
      <c r="F20" s="27">
        <f>E20*VLOOKUP(D20,Products!$A$2:$C$7,2,FALSE())</f>
        <v>38000</v>
      </c>
      <c r="G20" s="27">
        <v>28519</v>
      </c>
      <c r="H20" s="25" t="str">
        <f>VLOOKUP(C20,'Customers'!$A$2:$H$41,2,FALSE())</f>
        <v>Ethan Green</v>
      </c>
      <c r="I20" s="25" t="s">
        <v>47</v>
      </c>
      <c r="J20" s="28">
        <f>IFERROR((Sales[[#This Row],[Revenue]]-Sales[[#This Row],[Cost]])/Sales[[#This Row],[Revenue]],0)</f>
        <v>0.2495</v>
      </c>
      <c r="K20" s="28" t="str">
        <f>_xlfn.IFNA(_xlfn.XLOOKUP(Sales[[#This Row],[Customer ID]],Customers[Customer ID],Customers[Region]),"Not found")</f>
        <v>West</v>
      </c>
      <c r="L20" s="29">
        <f>DATE(YEAR(Sales[[#This Row],[Date]]),MONTH(Sales[[#This Row],[Date]]),1)</f>
        <v>45352</v>
      </c>
      <c r="M20" s="24"/>
    </row>
    <row r="21" spans="1:13" ht="16.8" x14ac:dyDescent="0.4">
      <c r="A21" s="30" t="s">
        <v>48</v>
      </c>
      <c r="B21" s="31">
        <v>45368</v>
      </c>
      <c r="C21" s="30" t="s">
        <v>49</v>
      </c>
      <c r="D21" s="30" t="s">
        <v>27</v>
      </c>
      <c r="E21" s="30">
        <v>60</v>
      </c>
      <c r="F21" s="32">
        <f>E21*VLOOKUP(D21,Products!$A$2:$C$7,2,FALSE())</f>
        <v>18000</v>
      </c>
      <c r="G21" s="32">
        <v>12233</v>
      </c>
      <c r="H21" s="30" t="str">
        <f>VLOOKUP(C21,'Customers'!$A$2:$H$41,2,FALSE())</f>
        <v>Emily Johnson</v>
      </c>
      <c r="I21" s="30" t="s">
        <v>11</v>
      </c>
      <c r="J21" s="33">
        <f>IFERROR((Sales[[#This Row],[Revenue]]-Sales[[#This Row],[Cost]])/Sales[[#This Row],[Revenue]],0)</f>
        <v>0.32038888888888889</v>
      </c>
      <c r="K21" s="33" t="str">
        <f>_xlfn.IFNA(_xlfn.XLOOKUP(Sales[[#This Row],[Customer ID]],Customers[Customer ID],Customers[Region]),"Not found")</f>
        <v>Northeast</v>
      </c>
      <c r="L21" s="34">
        <f>DATE(YEAR(Sales[[#This Row],[Date]]),MONTH(Sales[[#This Row],[Date]]),1)</f>
        <v>45352</v>
      </c>
      <c r="M21" s="24"/>
    </row>
    <row r="22" spans="1:13" ht="16.8" x14ac:dyDescent="0.4">
      <c r="A22" s="25" t="s">
        <v>253</v>
      </c>
      <c r="B22" s="26">
        <v>45988</v>
      </c>
      <c r="C22" s="25" t="s">
        <v>112</v>
      </c>
      <c r="D22" s="25" t="s">
        <v>52</v>
      </c>
      <c r="E22" s="25">
        <v>41</v>
      </c>
      <c r="F22" s="27">
        <f>E22*VLOOKUP(D22,Products!$A$2:$C$7,2,FALSE())</f>
        <v>73800</v>
      </c>
      <c r="G22" s="27">
        <v>56294</v>
      </c>
      <c r="H22" s="25" t="str">
        <f>VLOOKUP(C22,'Customers'!$A$2:$H$41,2,FALSE())</f>
        <v>Samantha Robinson</v>
      </c>
      <c r="I22" s="25" t="s">
        <v>15</v>
      </c>
      <c r="J22" s="28">
        <f>IFERROR((Sales[[#This Row],[Revenue]]-Sales[[#This Row],[Cost]])/Sales[[#This Row],[Revenue]],0)</f>
        <v>0.23720867208672086</v>
      </c>
      <c r="K22" s="28" t="str">
        <f>_xlfn.IFNA(_xlfn.XLOOKUP(Sales[[#This Row],[Customer ID]],Customers[Customer ID],Customers[Region]),"Not found")</f>
        <v>Northeast</v>
      </c>
      <c r="L22" s="29">
        <f>DATE(YEAR(Sales[[#This Row],[Date]]),MONTH(Sales[[#This Row],[Date]]),1)</f>
        <v>45962</v>
      </c>
      <c r="M22" s="24"/>
    </row>
    <row r="23" spans="1:13" ht="16.8" x14ac:dyDescent="0.4">
      <c r="A23" s="30" t="s">
        <v>245</v>
      </c>
      <c r="B23" s="31">
        <v>45956</v>
      </c>
      <c r="C23" s="30" t="s">
        <v>34</v>
      </c>
      <c r="D23" s="30" t="s">
        <v>18</v>
      </c>
      <c r="E23" s="30">
        <v>9</v>
      </c>
      <c r="F23" s="32">
        <f>E23*VLOOKUP(D23,Products!$A$2:$C$7,2,FALSE())</f>
        <v>85500</v>
      </c>
      <c r="G23" s="32">
        <v>66091</v>
      </c>
      <c r="H23" s="30" t="str">
        <f>VLOOKUP(C23,'Customers'!$A$2:$H$41,2,FALSE())</f>
        <v>Victoria Nelson</v>
      </c>
      <c r="I23" s="30" t="s">
        <v>15</v>
      </c>
      <c r="J23" s="33">
        <f>IFERROR((Sales[[#This Row],[Revenue]]-Sales[[#This Row],[Cost]])/Sales[[#This Row],[Revenue]],0)</f>
        <v>0.22700584795321638</v>
      </c>
      <c r="K23" s="33" t="str">
        <f>_xlfn.IFNA(_xlfn.XLOOKUP(Sales[[#This Row],[Customer ID]],Customers[Customer ID],Customers[Region]),"Not found")</f>
        <v>Northeast</v>
      </c>
      <c r="L23" s="34">
        <f>DATE(YEAR(Sales[[#This Row],[Date]]),MONTH(Sales[[#This Row],[Date]]),1)</f>
        <v>45931</v>
      </c>
      <c r="M23" s="24"/>
    </row>
    <row r="24" spans="1:13" ht="16.8" x14ac:dyDescent="0.4">
      <c r="A24" s="25" t="s">
        <v>54</v>
      </c>
      <c r="B24" s="26">
        <v>45375</v>
      </c>
      <c r="C24" s="25" t="s">
        <v>31</v>
      </c>
      <c r="D24" s="25" t="s">
        <v>24</v>
      </c>
      <c r="E24" s="25">
        <v>47</v>
      </c>
      <c r="F24" s="27">
        <f>E24*VLOOKUP(D24,Products!$A$2:$C$7,2,FALSE())</f>
        <v>21150</v>
      </c>
      <c r="G24" s="27">
        <v>15620</v>
      </c>
      <c r="H24" s="25" t="str">
        <f>VLOOKUP(C24,'Customers'!$A$2:$H$41,2,FALSE())</f>
        <v>Olivia King</v>
      </c>
      <c r="I24" s="25" t="s">
        <v>15</v>
      </c>
      <c r="J24" s="28">
        <f>IFERROR((Sales[[#This Row],[Revenue]]-Sales[[#This Row],[Cost]])/Sales[[#This Row],[Revenue]],0)</f>
        <v>0.26146572104018911</v>
      </c>
      <c r="K24" s="28" t="str">
        <f>_xlfn.IFNA(_xlfn.XLOOKUP(Sales[[#This Row],[Customer ID]],Customers[Customer ID],Customers[Region]),"Not found")</f>
        <v>Northeast</v>
      </c>
      <c r="L24" s="29">
        <f>DATE(YEAR(Sales[[#This Row],[Date]]),MONTH(Sales[[#This Row],[Date]]),1)</f>
        <v>45352</v>
      </c>
      <c r="M24" s="24"/>
    </row>
    <row r="25" spans="1:13" ht="16.8" x14ac:dyDescent="0.4">
      <c r="A25" s="30" t="s">
        <v>55</v>
      </c>
      <c r="B25" s="31">
        <v>45383</v>
      </c>
      <c r="C25" s="30" t="s">
        <v>56</v>
      </c>
      <c r="D25" s="30" t="s">
        <v>52</v>
      </c>
      <c r="E25" s="30">
        <v>25</v>
      </c>
      <c r="F25" s="32">
        <f>E25*VLOOKUP(D25,Products!$A$2:$C$7,2,FALSE())</f>
        <v>45000</v>
      </c>
      <c r="G25" s="32">
        <v>34983</v>
      </c>
      <c r="H25" s="30" t="str">
        <f>VLOOKUP(C25,'Customers'!$A$2:$H$41,2,FALSE())</f>
        <v>Nathan Allen</v>
      </c>
      <c r="I25" s="30" t="s">
        <v>47</v>
      </c>
      <c r="J25" s="33">
        <f>IFERROR((Sales[[#This Row],[Revenue]]-Sales[[#This Row],[Cost]])/Sales[[#This Row],[Revenue]],0)</f>
        <v>0.22259999999999999</v>
      </c>
      <c r="K25" s="33" t="str">
        <f>_xlfn.IFNA(_xlfn.XLOOKUP(Sales[[#This Row],[Customer ID]],Customers[Customer ID],Customers[Region]),"Not found")</f>
        <v>West</v>
      </c>
      <c r="L25" s="34">
        <f>DATE(YEAR(Sales[[#This Row],[Date]]),MONTH(Sales[[#This Row],[Date]]),1)</f>
        <v>45383</v>
      </c>
      <c r="M25" s="24"/>
    </row>
    <row r="26" spans="1:13" ht="16.8" x14ac:dyDescent="0.4">
      <c r="A26" s="25" t="s">
        <v>239</v>
      </c>
      <c r="B26" s="26">
        <v>45937</v>
      </c>
      <c r="C26" s="25" t="s">
        <v>71</v>
      </c>
      <c r="D26" s="25" t="s">
        <v>52</v>
      </c>
      <c r="E26" s="25">
        <v>37</v>
      </c>
      <c r="F26" s="27">
        <f>E26*VLOOKUP(D26,Products!$A$2:$C$7,2,FALSE())</f>
        <v>66600</v>
      </c>
      <c r="G26" s="27">
        <v>51113</v>
      </c>
      <c r="H26" s="25" t="str">
        <f>VLOOKUP(C26,'Customers'!$A$2:$H$41,2,FALSE())</f>
        <v>Elizabeth Clark</v>
      </c>
      <c r="I26" s="25" t="s">
        <v>15</v>
      </c>
      <c r="J26" s="28">
        <f>IFERROR((Sales[[#This Row],[Revenue]]-Sales[[#This Row],[Cost]])/Sales[[#This Row],[Revenue]],0)</f>
        <v>0.23253753753753753</v>
      </c>
      <c r="K26" s="28" t="str">
        <f>_xlfn.IFNA(_xlfn.XLOOKUP(Sales[[#This Row],[Customer ID]],Customers[Customer ID],Customers[Region]),"Not found")</f>
        <v>South</v>
      </c>
      <c r="L26" s="29">
        <f>DATE(YEAR(Sales[[#This Row],[Date]]),MONTH(Sales[[#This Row],[Date]]),1)</f>
        <v>45931</v>
      </c>
      <c r="M26" s="24"/>
    </row>
    <row r="27" spans="1:13" ht="16.8" x14ac:dyDescent="0.4">
      <c r="A27" s="30" t="s">
        <v>242</v>
      </c>
      <c r="B27" s="31">
        <v>45937</v>
      </c>
      <c r="C27" s="30" t="s">
        <v>51</v>
      </c>
      <c r="D27" s="30" t="s">
        <v>52</v>
      </c>
      <c r="E27" s="30">
        <v>31</v>
      </c>
      <c r="F27" s="32">
        <f>E27*VLOOKUP(D27,Products!$A$2:$C$7,2,FALSE())</f>
        <v>55800</v>
      </c>
      <c r="G27" s="32">
        <v>42197</v>
      </c>
      <c r="H27" s="30" t="str">
        <f>VLOOKUP(C27,'Customers'!$A$2:$H$41,2,FALSE())</f>
        <v>Tyler Thompson</v>
      </c>
      <c r="I27" s="30" t="s">
        <v>15</v>
      </c>
      <c r="J27" s="33">
        <f>IFERROR((Sales[[#This Row],[Revenue]]-Sales[[#This Row],[Cost]])/Sales[[#This Row],[Revenue]],0)</f>
        <v>0.24378136200716846</v>
      </c>
      <c r="K27" s="33" t="str">
        <f>_xlfn.IFNA(_xlfn.XLOOKUP(Sales[[#This Row],[Customer ID]],Customers[Customer ID],Customers[Region]),"Not found")</f>
        <v>South</v>
      </c>
      <c r="L27" s="34">
        <f>DATE(YEAR(Sales[[#This Row],[Date]]),MONTH(Sales[[#This Row],[Date]]),1)</f>
        <v>45931</v>
      </c>
      <c r="M27" s="24"/>
    </row>
    <row r="28" spans="1:13" ht="16.8" x14ac:dyDescent="0.4">
      <c r="A28" s="25" t="s">
        <v>61</v>
      </c>
      <c r="B28" s="26">
        <v>45390</v>
      </c>
      <c r="C28" s="25" t="s">
        <v>62</v>
      </c>
      <c r="D28" s="25" t="s">
        <v>10</v>
      </c>
      <c r="E28" s="25">
        <v>21</v>
      </c>
      <c r="F28" s="27">
        <f>E28*VLOOKUP(D28,Products!$A$2:$C$7,2,FALSE())</f>
        <v>17850</v>
      </c>
      <c r="G28" s="27">
        <v>13072</v>
      </c>
      <c r="H28" s="25" t="str">
        <f>VLOOKUP(C28,'Customers'!$A$2:$H$41,2,FALSE())</f>
        <v>Kayla Baker</v>
      </c>
      <c r="I28" s="25" t="s">
        <v>11</v>
      </c>
      <c r="J28" s="28">
        <f>IFERROR((Sales[[#This Row],[Revenue]]-Sales[[#This Row],[Cost]])/Sales[[#This Row],[Revenue]],0)</f>
        <v>0.26767507002801122</v>
      </c>
      <c r="K28" s="28" t="str">
        <f>_xlfn.IFNA(_xlfn.XLOOKUP(Sales[[#This Row],[Customer ID]],Customers[Customer ID],Customers[Region]),"Not found")</f>
        <v>Midwest</v>
      </c>
      <c r="L28" s="29">
        <f>DATE(YEAR(Sales[[#This Row],[Date]]),MONTH(Sales[[#This Row],[Date]]),1)</f>
        <v>45383</v>
      </c>
      <c r="M28" s="24"/>
    </row>
    <row r="29" spans="1:13" ht="16.8" x14ac:dyDescent="0.4">
      <c r="A29" s="30" t="s">
        <v>235</v>
      </c>
      <c r="B29" s="31">
        <v>45931</v>
      </c>
      <c r="C29" s="30" t="s">
        <v>222</v>
      </c>
      <c r="D29" s="30" t="s">
        <v>52</v>
      </c>
      <c r="E29" s="30">
        <v>50</v>
      </c>
      <c r="F29" s="32">
        <f>E29*VLOOKUP(D29,Products!$A$2:$C$7,2,FALSE())</f>
        <v>90000</v>
      </c>
      <c r="G29" s="32">
        <v>67149</v>
      </c>
      <c r="H29" s="30" t="str">
        <f>VLOOKUP(C29,'Customers'!$A$2:$H$41,2,FALSE())</f>
        <v>Benjamin Mitchell</v>
      </c>
      <c r="I29" s="30" t="s">
        <v>15</v>
      </c>
      <c r="J29" s="33">
        <f>IFERROR((Sales[[#This Row],[Revenue]]-Sales[[#This Row],[Cost]])/Sales[[#This Row],[Revenue]],0)</f>
        <v>0.25390000000000001</v>
      </c>
      <c r="K29" s="33" t="str">
        <f>_xlfn.IFNA(_xlfn.XLOOKUP(Sales[[#This Row],[Customer ID]],Customers[Customer ID],Customers[Region]),"Not found")</f>
        <v>Northeast</v>
      </c>
      <c r="L29" s="34">
        <f>DATE(YEAR(Sales[[#This Row],[Date]]),MONTH(Sales[[#This Row],[Date]]),1)</f>
        <v>45931</v>
      </c>
      <c r="M29" s="24"/>
    </row>
    <row r="30" spans="1:13" ht="16.8" x14ac:dyDescent="0.4">
      <c r="A30" s="25" t="s">
        <v>64</v>
      </c>
      <c r="B30" s="26">
        <v>45397</v>
      </c>
      <c r="C30" s="25" t="s">
        <v>39</v>
      </c>
      <c r="D30" s="25" t="s">
        <v>27</v>
      </c>
      <c r="E30" s="25">
        <v>56</v>
      </c>
      <c r="F30" s="27">
        <f>E30*VLOOKUP(D30,Products!$A$2:$C$7,2,FALSE())</f>
        <v>16800</v>
      </c>
      <c r="G30" s="27">
        <v>11548</v>
      </c>
      <c r="H30" s="25" t="str">
        <f>VLOOKUP(C30,'Customers'!$A$2:$H$41,2,FALSE())</f>
        <v>Aaron Adams</v>
      </c>
      <c r="I30" s="25" t="s">
        <v>11</v>
      </c>
      <c r="J30" s="28">
        <f>IFERROR((Sales[[#This Row],[Revenue]]-Sales[[#This Row],[Cost]])/Sales[[#This Row],[Revenue]],0)</f>
        <v>0.31261904761904763</v>
      </c>
      <c r="K30" s="28" t="str">
        <f>_xlfn.IFNA(_xlfn.XLOOKUP(Sales[[#This Row],[Customer ID]],Customers[Customer ID],Customers[Region]),"Not found")</f>
        <v>Northeast</v>
      </c>
      <c r="L30" s="29">
        <f>DATE(YEAR(Sales[[#This Row],[Date]]),MONTH(Sales[[#This Row],[Date]]),1)</f>
        <v>45383</v>
      </c>
      <c r="M30" s="24"/>
    </row>
    <row r="31" spans="1:13" ht="16.8" x14ac:dyDescent="0.4">
      <c r="A31" s="30" t="s">
        <v>65</v>
      </c>
      <c r="B31" s="31">
        <v>45397</v>
      </c>
      <c r="C31" s="30" t="s">
        <v>66</v>
      </c>
      <c r="D31" s="30" t="s">
        <v>24</v>
      </c>
      <c r="E31" s="30">
        <v>47</v>
      </c>
      <c r="F31" s="32">
        <f>E31*VLOOKUP(D31,Products!$A$2:$C$7,2,FALSE())</f>
        <v>21150</v>
      </c>
      <c r="G31" s="32">
        <v>14611</v>
      </c>
      <c r="H31" s="30" t="str">
        <f>VLOOKUP(C31,'Customers'!$A$2:$H$41,2,FALSE())</f>
        <v>David Jones</v>
      </c>
      <c r="I31" s="30" t="s">
        <v>15</v>
      </c>
      <c r="J31" s="33">
        <f>IFERROR((Sales[[#This Row],[Revenue]]-Sales[[#This Row],[Cost]])/Sales[[#This Row],[Revenue]],0)</f>
        <v>0.30917257683215132</v>
      </c>
      <c r="K31" s="33" t="str">
        <f>_xlfn.IFNA(_xlfn.XLOOKUP(Sales[[#This Row],[Customer ID]],Customers[Customer ID],Customers[Region]),"Not found")</f>
        <v>Northeast</v>
      </c>
      <c r="L31" s="34">
        <f>DATE(YEAR(Sales[[#This Row],[Date]]),MONTH(Sales[[#This Row],[Date]]),1)</f>
        <v>45383</v>
      </c>
      <c r="M31" s="24"/>
    </row>
    <row r="32" spans="1:13" ht="16.8" x14ac:dyDescent="0.4">
      <c r="A32" s="25" t="s">
        <v>67</v>
      </c>
      <c r="B32" s="26">
        <v>45399</v>
      </c>
      <c r="C32" s="25" t="s">
        <v>37</v>
      </c>
      <c r="D32" s="25" t="s">
        <v>27</v>
      </c>
      <c r="E32" s="25">
        <v>17</v>
      </c>
      <c r="F32" s="27">
        <f>E32*VLOOKUP(D32,Products!$A$2:$C$7,2,FALSE())</f>
        <v>5100</v>
      </c>
      <c r="G32" s="27">
        <v>3690</v>
      </c>
      <c r="H32" s="25" t="str">
        <f>VLOOKUP(C32,'Customers'!$A$2:$H$41,2,FALSE())</f>
        <v>Ethan Green</v>
      </c>
      <c r="I32" s="25" t="s">
        <v>15</v>
      </c>
      <c r="J32" s="28">
        <f>IFERROR((Sales[[#This Row],[Revenue]]-Sales[[#This Row],[Cost]])/Sales[[#This Row],[Revenue]],0)</f>
        <v>0.27647058823529413</v>
      </c>
      <c r="K32" s="28" t="str">
        <f>_xlfn.IFNA(_xlfn.XLOOKUP(Sales[[#This Row],[Customer ID]],Customers[Customer ID],Customers[Region]),"Not found")</f>
        <v>West</v>
      </c>
      <c r="L32" s="29">
        <f>DATE(YEAR(Sales[[#This Row],[Date]]),MONTH(Sales[[#This Row],[Date]]),1)</f>
        <v>45383</v>
      </c>
      <c r="M32" s="24"/>
    </row>
    <row r="33" spans="1:13" ht="16.8" x14ac:dyDescent="0.4">
      <c r="A33" s="30" t="s">
        <v>68</v>
      </c>
      <c r="B33" s="31">
        <v>45417</v>
      </c>
      <c r="C33" s="30" t="s">
        <v>69</v>
      </c>
      <c r="D33" s="30" t="s">
        <v>18</v>
      </c>
      <c r="E33" s="30">
        <v>3</v>
      </c>
      <c r="F33" s="32">
        <f>E33*VLOOKUP(D33,Products!$A$2:$C$7,2,FALSE())</f>
        <v>28500</v>
      </c>
      <c r="G33" s="32">
        <v>21190</v>
      </c>
      <c r="H33" s="30" t="str">
        <f>VLOOKUP(C33,'Customers'!$A$2:$H$41,2,FALSE())</f>
        <v>Joshua Thomas</v>
      </c>
      <c r="I33" s="30" t="s">
        <v>15</v>
      </c>
      <c r="J33" s="33">
        <f>IFERROR((Sales[[#This Row],[Revenue]]-Sales[[#This Row],[Cost]])/Sales[[#This Row],[Revenue]],0)</f>
        <v>0.25649122807017544</v>
      </c>
      <c r="K33" s="33" t="str">
        <f>_xlfn.IFNA(_xlfn.XLOOKUP(Sales[[#This Row],[Customer ID]],Customers[Customer ID],Customers[Region]),"Not found")</f>
        <v>West</v>
      </c>
      <c r="L33" s="34">
        <f>DATE(YEAR(Sales[[#This Row],[Date]]),MONTH(Sales[[#This Row],[Date]]),1)</f>
        <v>45413</v>
      </c>
      <c r="M33" s="24"/>
    </row>
    <row r="34" spans="1:13" ht="16.8" x14ac:dyDescent="0.4">
      <c r="A34" s="25" t="s">
        <v>70</v>
      </c>
      <c r="B34" s="26">
        <v>45423</v>
      </c>
      <c r="C34" s="25" t="s">
        <v>71</v>
      </c>
      <c r="D34" s="25" t="s">
        <v>52</v>
      </c>
      <c r="E34" s="25">
        <v>6</v>
      </c>
      <c r="F34" s="27">
        <f>E34*VLOOKUP(D34,Products!$A$2:$C$7,2,FALSE())</f>
        <v>10800</v>
      </c>
      <c r="G34" s="27">
        <v>7983</v>
      </c>
      <c r="H34" s="25" t="str">
        <f>VLOOKUP(C34,'Customers'!$A$2:$H$41,2,FALSE())</f>
        <v>Elizabeth Clark</v>
      </c>
      <c r="I34" s="25" t="s">
        <v>15</v>
      </c>
      <c r="J34" s="28">
        <f>IFERROR((Sales[[#This Row],[Revenue]]-Sales[[#This Row],[Cost]])/Sales[[#This Row],[Revenue]],0)</f>
        <v>0.26083333333333331</v>
      </c>
      <c r="K34" s="28" t="str">
        <f>_xlfn.IFNA(_xlfn.XLOOKUP(Sales[[#This Row],[Customer ID]],Customers[Customer ID],Customers[Region]),"Not found")</f>
        <v>South</v>
      </c>
      <c r="L34" s="29">
        <f>DATE(YEAR(Sales[[#This Row],[Date]]),MONTH(Sales[[#This Row],[Date]]),1)</f>
        <v>45413</v>
      </c>
      <c r="M34" s="24"/>
    </row>
    <row r="35" spans="1:13" ht="16.8" x14ac:dyDescent="0.4">
      <c r="A35" s="30" t="s">
        <v>232</v>
      </c>
      <c r="B35" s="31">
        <v>45922</v>
      </c>
      <c r="C35" s="30" t="s">
        <v>39</v>
      </c>
      <c r="D35" s="30" t="s">
        <v>14</v>
      </c>
      <c r="E35" s="30">
        <v>59</v>
      </c>
      <c r="F35" s="32">
        <f>E35*VLOOKUP(D35,Products!$A$2:$C$7,2,FALSE())</f>
        <v>70800</v>
      </c>
      <c r="G35" s="32">
        <v>55064</v>
      </c>
      <c r="H35" s="30" t="str">
        <f>VLOOKUP(C35,'Customers'!$A$2:$H$41,2,FALSE())</f>
        <v>Aaron Adams</v>
      </c>
      <c r="I35" s="30" t="s">
        <v>15</v>
      </c>
      <c r="J35" s="33">
        <f>IFERROR((Sales[[#This Row],[Revenue]]-Sales[[#This Row],[Cost]])/Sales[[#This Row],[Revenue]],0)</f>
        <v>0.22225988700564972</v>
      </c>
      <c r="K35" s="33" t="str">
        <f>_xlfn.IFNA(_xlfn.XLOOKUP(Sales[[#This Row],[Customer ID]],Customers[Customer ID],Customers[Region]),"Not found")</f>
        <v>Northeast</v>
      </c>
      <c r="L35" s="34">
        <f>DATE(YEAR(Sales[[#This Row],[Date]]),MONTH(Sales[[#This Row],[Date]]),1)</f>
        <v>45901</v>
      </c>
      <c r="M35" s="24"/>
    </row>
    <row r="36" spans="1:13" ht="16.8" x14ac:dyDescent="0.4">
      <c r="A36" s="25" t="s">
        <v>73</v>
      </c>
      <c r="B36" s="26">
        <v>45428</v>
      </c>
      <c r="C36" s="25" t="s">
        <v>69</v>
      </c>
      <c r="D36" s="25" t="s">
        <v>14</v>
      </c>
      <c r="E36" s="25">
        <v>15</v>
      </c>
      <c r="F36" s="27">
        <f>E36*VLOOKUP(D36,Products!$A$2:$C$7,2,FALSE())</f>
        <v>18000</v>
      </c>
      <c r="G36" s="27">
        <v>13971</v>
      </c>
      <c r="H36" s="25" t="str">
        <f>VLOOKUP(C36,'Customers'!$A$2:$H$41,2,FALSE())</f>
        <v>Joshua Thomas</v>
      </c>
      <c r="I36" s="25" t="s">
        <v>15</v>
      </c>
      <c r="J36" s="28">
        <f>IFERROR((Sales[[#This Row],[Revenue]]-Sales[[#This Row],[Cost]])/Sales[[#This Row],[Revenue]],0)</f>
        <v>0.22383333333333333</v>
      </c>
      <c r="K36" s="28" t="str">
        <f>_xlfn.IFNA(_xlfn.XLOOKUP(Sales[[#This Row],[Customer ID]],Customers[Customer ID],Customers[Region]),"Not found")</f>
        <v>West</v>
      </c>
      <c r="L36" s="29">
        <f>DATE(YEAR(Sales[[#This Row],[Date]]),MONTH(Sales[[#This Row],[Date]]),1)</f>
        <v>45413</v>
      </c>
      <c r="M36" s="24"/>
    </row>
    <row r="37" spans="1:13" ht="16.8" x14ac:dyDescent="0.4">
      <c r="A37" s="30" t="s">
        <v>219</v>
      </c>
      <c r="B37" s="31">
        <v>45883</v>
      </c>
      <c r="C37" s="30" t="s">
        <v>60</v>
      </c>
      <c r="D37" s="30" t="s">
        <v>18</v>
      </c>
      <c r="E37" s="30">
        <v>9</v>
      </c>
      <c r="F37" s="32">
        <f>E37*VLOOKUP(D37,Products!$A$2:$C$7,2,FALSE())</f>
        <v>85500</v>
      </c>
      <c r="G37" s="32">
        <v>66054</v>
      </c>
      <c r="H37" s="30" t="str">
        <f>VLOOKUP(C37,'Customers'!$A$2:$H$41,2,FALSE())</f>
        <v>Matthew Rodriguez</v>
      </c>
      <c r="I37" s="30" t="s">
        <v>15</v>
      </c>
      <c r="J37" s="33">
        <f>IFERROR((Sales[[#This Row],[Revenue]]-Sales[[#This Row],[Cost]])/Sales[[#This Row],[Revenue]],0)</f>
        <v>0.22743859649122808</v>
      </c>
      <c r="K37" s="33" t="str">
        <f>_xlfn.IFNA(_xlfn.XLOOKUP(Sales[[#This Row],[Customer ID]],Customers[Customer ID],Customers[Region]),"Not found")</f>
        <v>West</v>
      </c>
      <c r="L37" s="34">
        <f>DATE(YEAR(Sales[[#This Row],[Date]]),MONTH(Sales[[#This Row],[Date]]),1)</f>
        <v>45870</v>
      </c>
      <c r="M37" s="24"/>
    </row>
    <row r="38" spans="1:13" ht="16.8" x14ac:dyDescent="0.4">
      <c r="A38" s="25" t="s">
        <v>75</v>
      </c>
      <c r="B38" s="26">
        <v>45432</v>
      </c>
      <c r="C38" s="25" t="s">
        <v>37</v>
      </c>
      <c r="D38" s="25" t="s">
        <v>24</v>
      </c>
      <c r="E38" s="25">
        <v>9</v>
      </c>
      <c r="F38" s="27">
        <f>E38*VLOOKUP(D38,Products!$A$2:$C$7,2,FALSE())</f>
        <v>4050</v>
      </c>
      <c r="G38" s="27">
        <v>2946</v>
      </c>
      <c r="H38" s="25" t="str">
        <f>VLOOKUP(C38,'Customers'!$A$2:$H$41,2,FALSE())</f>
        <v>Ethan Green</v>
      </c>
      <c r="I38" s="25" t="s">
        <v>15</v>
      </c>
      <c r="J38" s="28">
        <f>IFERROR((Sales[[#This Row],[Revenue]]-Sales[[#This Row],[Cost]])/Sales[[#This Row],[Revenue]],0)</f>
        <v>0.27259259259259261</v>
      </c>
      <c r="K38" s="28" t="str">
        <f>_xlfn.IFNA(_xlfn.XLOOKUP(Sales[[#This Row],[Customer ID]],Customers[Customer ID],Customers[Region]),"Not found")</f>
        <v>West</v>
      </c>
      <c r="L38" s="29">
        <f>DATE(YEAR(Sales[[#This Row],[Date]]),MONTH(Sales[[#This Row],[Date]]),1)</f>
        <v>45413</v>
      </c>
      <c r="M38" s="24"/>
    </row>
    <row r="39" spans="1:13" ht="16.8" x14ac:dyDescent="0.4">
      <c r="A39" s="30" t="s">
        <v>76</v>
      </c>
      <c r="B39" s="31">
        <v>45435</v>
      </c>
      <c r="C39" s="30" t="s">
        <v>71</v>
      </c>
      <c r="D39" s="30" t="s">
        <v>10</v>
      </c>
      <c r="E39" s="30">
        <v>14</v>
      </c>
      <c r="F39" s="32">
        <f>E39*VLOOKUP(D39,Products!$A$2:$C$7,2,FALSE())</f>
        <v>11900</v>
      </c>
      <c r="G39" s="32">
        <v>8842</v>
      </c>
      <c r="H39" s="30" t="str">
        <f>VLOOKUP(C39,'Customers'!$A$2:$H$41,2,FALSE())</f>
        <v>Elizabeth Clark</v>
      </c>
      <c r="I39" s="30" t="s">
        <v>15</v>
      </c>
      <c r="J39" s="33">
        <f>IFERROR((Sales[[#This Row],[Revenue]]-Sales[[#This Row],[Cost]])/Sales[[#This Row],[Revenue]],0)</f>
        <v>0.2569747899159664</v>
      </c>
      <c r="K39" s="33" t="str">
        <f>_xlfn.IFNA(_xlfn.XLOOKUP(Sales[[#This Row],[Customer ID]],Customers[Customer ID],Customers[Region]),"Not found")</f>
        <v>South</v>
      </c>
      <c r="L39" s="34">
        <f>DATE(YEAR(Sales[[#This Row],[Date]]),MONTH(Sales[[#This Row],[Date]]),1)</f>
        <v>45413</v>
      </c>
      <c r="M39" s="24"/>
    </row>
    <row r="40" spans="1:13" ht="16.8" x14ac:dyDescent="0.4">
      <c r="A40" s="25" t="s">
        <v>77</v>
      </c>
      <c r="B40" s="26">
        <v>45438</v>
      </c>
      <c r="C40" s="25" t="s">
        <v>42</v>
      </c>
      <c r="D40" s="25" t="s">
        <v>14</v>
      </c>
      <c r="E40" s="25">
        <v>10</v>
      </c>
      <c r="F40" s="27">
        <f>E40*VLOOKUP(D40,Products!$A$2:$C$7,2,FALSE())</f>
        <v>12000</v>
      </c>
      <c r="G40" s="27">
        <v>8899</v>
      </c>
      <c r="H40" s="25" t="str">
        <f>VLOOKUP(C40,'Customers'!$A$2:$H$41,2,FALSE())</f>
        <v>Daniel Miller</v>
      </c>
      <c r="I40" s="25" t="s">
        <v>11</v>
      </c>
      <c r="J40" s="28">
        <f>IFERROR((Sales[[#This Row],[Revenue]]-Sales[[#This Row],[Cost]])/Sales[[#This Row],[Revenue]],0)</f>
        <v>0.25841666666666668</v>
      </c>
      <c r="K40" s="28" t="str">
        <f>_xlfn.IFNA(_xlfn.XLOOKUP(Sales[[#This Row],[Customer ID]],Customers[Customer ID],Customers[Region]),"Not found")</f>
        <v>Midwest</v>
      </c>
      <c r="L40" s="29">
        <f>DATE(YEAR(Sales[[#This Row],[Date]]),MONTH(Sales[[#This Row],[Date]]),1)</f>
        <v>45413</v>
      </c>
      <c r="M40" s="24"/>
    </row>
    <row r="41" spans="1:13" ht="16.8" x14ac:dyDescent="0.4">
      <c r="A41" s="30" t="s">
        <v>217</v>
      </c>
      <c r="B41" s="31">
        <v>45876</v>
      </c>
      <c r="C41" s="30" t="s">
        <v>167</v>
      </c>
      <c r="D41" s="30" t="s">
        <v>52</v>
      </c>
      <c r="E41" s="30">
        <v>36</v>
      </c>
      <c r="F41" s="32">
        <f>E41*VLOOKUP(D41,Products!$A$2:$C$7,2,FALSE())</f>
        <v>64800</v>
      </c>
      <c r="G41" s="32">
        <v>47926</v>
      </c>
      <c r="H41" s="30" t="str">
        <f>VLOOKUP(C41,'Customers'!$A$2:$H$41,2,FALSE())</f>
        <v>Justin Walker</v>
      </c>
      <c r="I41" s="30" t="s">
        <v>15</v>
      </c>
      <c r="J41" s="33">
        <f>IFERROR((Sales[[#This Row],[Revenue]]-Sales[[#This Row],[Cost]])/Sales[[#This Row],[Revenue]],0)</f>
        <v>0.26040123456790121</v>
      </c>
      <c r="K41" s="33" t="str">
        <f>_xlfn.IFNA(_xlfn.XLOOKUP(Sales[[#This Row],[Customer ID]],Customers[Customer ID],Customers[Region]),"Not found")</f>
        <v>Northeast</v>
      </c>
      <c r="L41" s="34">
        <f>DATE(YEAR(Sales[[#This Row],[Date]]),MONTH(Sales[[#This Row],[Date]]),1)</f>
        <v>45870</v>
      </c>
      <c r="M41" s="24"/>
    </row>
    <row r="42" spans="1:13" ht="16.8" x14ac:dyDescent="0.4">
      <c r="A42" s="25" t="s">
        <v>215</v>
      </c>
      <c r="B42" s="26">
        <v>45873</v>
      </c>
      <c r="C42" s="25" t="s">
        <v>31</v>
      </c>
      <c r="D42" s="25" t="s">
        <v>18</v>
      </c>
      <c r="E42" s="25">
        <v>8</v>
      </c>
      <c r="F42" s="27">
        <f>E42*VLOOKUP(D42,Products!$A$2:$C$7,2,FALSE())</f>
        <v>76000</v>
      </c>
      <c r="G42" s="27">
        <v>58773</v>
      </c>
      <c r="H42" s="25" t="str">
        <f>VLOOKUP(C42,'Customers'!$A$2:$H$41,2,FALSE())</f>
        <v>Olivia King</v>
      </c>
      <c r="I42" s="25" t="s">
        <v>11</v>
      </c>
      <c r="J42" s="28">
        <f>IFERROR((Sales[[#This Row],[Revenue]]-Sales[[#This Row],[Cost]])/Sales[[#This Row],[Revenue]],0)</f>
        <v>0.22667105263157894</v>
      </c>
      <c r="K42" s="28" t="str">
        <f>_xlfn.IFNA(_xlfn.XLOOKUP(Sales[[#This Row],[Customer ID]],Customers[Customer ID],Customers[Region]),"Not found")</f>
        <v>Northeast</v>
      </c>
      <c r="L42" s="29">
        <f>DATE(YEAR(Sales[[#This Row],[Date]]),MONTH(Sales[[#This Row],[Date]]),1)</f>
        <v>45870</v>
      </c>
      <c r="M42" s="24"/>
    </row>
    <row r="43" spans="1:13" ht="16.8" x14ac:dyDescent="0.4">
      <c r="A43" s="30" t="s">
        <v>81</v>
      </c>
      <c r="B43" s="31">
        <v>45457</v>
      </c>
      <c r="C43" s="30" t="s">
        <v>82</v>
      </c>
      <c r="D43" s="30" t="s">
        <v>10</v>
      </c>
      <c r="E43" s="30">
        <v>30</v>
      </c>
      <c r="F43" s="32">
        <f>E43*VLOOKUP(D43,Products!$A$2:$C$7,2,FALSE())</f>
        <v>25500</v>
      </c>
      <c r="G43" s="32">
        <v>19645</v>
      </c>
      <c r="H43" s="30" t="str">
        <f>VLOOKUP(C43,'Customers'!$A$2:$H$41,2,FALSE())</f>
        <v>Ryan Moore</v>
      </c>
      <c r="I43" s="30" t="s">
        <v>15</v>
      </c>
      <c r="J43" s="33">
        <f>IFERROR((Sales[[#This Row],[Revenue]]-Sales[[#This Row],[Cost]])/Sales[[#This Row],[Revenue]],0)</f>
        <v>0.22960784313725491</v>
      </c>
      <c r="K43" s="33" t="str">
        <f>_xlfn.IFNA(_xlfn.XLOOKUP(Sales[[#This Row],[Customer ID]],Customers[Customer ID],Customers[Region]),"Not found")</f>
        <v>South</v>
      </c>
      <c r="L43" s="34">
        <f>DATE(YEAR(Sales[[#This Row],[Date]]),MONTH(Sales[[#This Row],[Date]]),1)</f>
        <v>45444</v>
      </c>
      <c r="M43" s="24"/>
    </row>
    <row r="44" spans="1:13" ht="16.8" x14ac:dyDescent="0.4">
      <c r="A44" s="25" t="s">
        <v>214</v>
      </c>
      <c r="B44" s="26">
        <v>45871</v>
      </c>
      <c r="C44" s="25" t="s">
        <v>34</v>
      </c>
      <c r="D44" s="25" t="s">
        <v>18</v>
      </c>
      <c r="E44" s="25">
        <v>10</v>
      </c>
      <c r="F44" s="27">
        <f>E44*VLOOKUP(D44,Products!$A$2:$C$7,2,FALSE())</f>
        <v>95000</v>
      </c>
      <c r="G44" s="27">
        <v>71775</v>
      </c>
      <c r="H44" s="25" t="str">
        <f>VLOOKUP(C44,'Customers'!$A$2:$H$41,2,FALSE())</f>
        <v>Victoria Nelson</v>
      </c>
      <c r="I44" s="25" t="s">
        <v>15</v>
      </c>
      <c r="J44" s="28">
        <f>IFERROR((Sales[[#This Row],[Revenue]]-Sales[[#This Row],[Cost]])/Sales[[#This Row],[Revenue]],0)</f>
        <v>0.24447368421052632</v>
      </c>
      <c r="K44" s="28" t="str">
        <f>_xlfn.IFNA(_xlfn.XLOOKUP(Sales[[#This Row],[Customer ID]],Customers[Customer ID],Customers[Region]),"Not found")</f>
        <v>Northeast</v>
      </c>
      <c r="L44" s="29">
        <f>DATE(YEAR(Sales[[#This Row],[Date]]),MONTH(Sales[[#This Row],[Date]]),1)</f>
        <v>45870</v>
      </c>
      <c r="M44" s="24"/>
    </row>
    <row r="45" spans="1:13" ht="16.8" x14ac:dyDescent="0.4">
      <c r="A45" s="30" t="s">
        <v>84</v>
      </c>
      <c r="B45" s="31">
        <v>45460</v>
      </c>
      <c r="C45" s="30" t="s">
        <v>85</v>
      </c>
      <c r="D45" s="30" t="s">
        <v>27</v>
      </c>
      <c r="E45" s="30">
        <v>49</v>
      </c>
      <c r="F45" s="32">
        <f>E45*VLOOKUP(D45,Products!$A$2:$C$7,2,FALSE())</f>
        <v>14700</v>
      </c>
      <c r="G45" s="32">
        <v>10096</v>
      </c>
      <c r="H45" s="30" t="str">
        <f>VLOOKUP(C45,'Customers'!$A$2:$H$41,2,FALSE())</f>
        <v>Brittany Scott</v>
      </c>
      <c r="I45" s="30" t="s">
        <v>47</v>
      </c>
      <c r="J45" s="33">
        <f>IFERROR((Sales[[#This Row],[Revenue]]-Sales[[#This Row],[Cost]])/Sales[[#This Row],[Revenue]],0)</f>
        <v>0.31319727891156462</v>
      </c>
      <c r="K45" s="33" t="str">
        <f>_xlfn.IFNA(_xlfn.XLOOKUP(Sales[[#This Row],[Customer ID]],Customers[Customer ID],Customers[Region]),"Not found")</f>
        <v>West</v>
      </c>
      <c r="L45" s="34">
        <f>DATE(YEAR(Sales[[#This Row],[Date]]),MONTH(Sales[[#This Row],[Date]]),1)</f>
        <v>45444</v>
      </c>
      <c r="M45" s="24"/>
    </row>
    <row r="46" spans="1:13" ht="16.8" x14ac:dyDescent="0.4">
      <c r="A46" s="25" t="s">
        <v>86</v>
      </c>
      <c r="B46" s="26">
        <v>45463</v>
      </c>
      <c r="C46" s="25" t="s">
        <v>66</v>
      </c>
      <c r="D46" s="25" t="s">
        <v>14</v>
      </c>
      <c r="E46" s="25">
        <v>21</v>
      </c>
      <c r="F46" s="27">
        <f>E46*VLOOKUP(D46,Products!$A$2:$C$7,2,FALSE())</f>
        <v>25200</v>
      </c>
      <c r="G46" s="27">
        <v>19017</v>
      </c>
      <c r="H46" s="25" t="str">
        <f>VLOOKUP(C46,'Customers'!$A$2:$H$41,2,FALSE())</f>
        <v>David Jones</v>
      </c>
      <c r="I46" s="25" t="s">
        <v>15</v>
      </c>
      <c r="J46" s="28">
        <f>IFERROR((Sales[[#This Row],[Revenue]]-Sales[[#This Row],[Cost]])/Sales[[#This Row],[Revenue]],0)</f>
        <v>0.24535714285714286</v>
      </c>
      <c r="K46" s="28" t="str">
        <f>_xlfn.IFNA(_xlfn.XLOOKUP(Sales[[#This Row],[Customer ID]],Customers[Customer ID],Customers[Region]),"Not found")</f>
        <v>Northeast</v>
      </c>
      <c r="L46" s="29">
        <f>DATE(YEAR(Sales[[#This Row],[Date]]),MONTH(Sales[[#This Row],[Date]]),1)</f>
        <v>45444</v>
      </c>
      <c r="M46" s="24"/>
    </row>
    <row r="47" spans="1:13" ht="16.8" x14ac:dyDescent="0.4">
      <c r="A47" s="30" t="s">
        <v>202</v>
      </c>
      <c r="B47" s="31">
        <v>45819</v>
      </c>
      <c r="C47" s="30" t="s">
        <v>79</v>
      </c>
      <c r="D47" s="30" t="s">
        <v>14</v>
      </c>
      <c r="E47" s="30">
        <v>46</v>
      </c>
      <c r="F47" s="32">
        <f>E47*VLOOKUP(D47,Products!$A$2:$C$7,2,FALSE())</f>
        <v>55200</v>
      </c>
      <c r="G47" s="32">
        <v>40455</v>
      </c>
      <c r="H47" s="30" t="str">
        <f>VLOOKUP(C47,'Customers'!$A$2:$H$41,2,FALSE())</f>
        <v>Jennifer Lopez</v>
      </c>
      <c r="I47" s="30" t="s">
        <v>15</v>
      </c>
      <c r="J47" s="33">
        <f>IFERROR((Sales[[#This Row],[Revenue]]-Sales[[#This Row],[Cost]])/Sales[[#This Row],[Revenue]],0)</f>
        <v>0.26711956521739133</v>
      </c>
      <c r="K47" s="33" t="str">
        <f>_xlfn.IFNA(_xlfn.XLOOKUP(Sales[[#This Row],[Customer ID]],Customers[Customer ID],Customers[Region]),"Not found")</f>
        <v>South</v>
      </c>
      <c r="L47" s="34">
        <f>DATE(YEAR(Sales[[#This Row],[Date]]),MONTH(Sales[[#This Row],[Date]]),1)</f>
        <v>45809</v>
      </c>
      <c r="M47" s="24"/>
    </row>
    <row r="48" spans="1:13" ht="16.8" x14ac:dyDescent="0.4">
      <c r="A48" s="25" t="s">
        <v>89</v>
      </c>
      <c r="B48" s="26">
        <v>45477</v>
      </c>
      <c r="C48" s="25" t="s">
        <v>82</v>
      </c>
      <c r="D48" s="25" t="s">
        <v>14</v>
      </c>
      <c r="E48" s="25">
        <v>8</v>
      </c>
      <c r="F48" s="27">
        <f>E48*VLOOKUP(D48,Products!$A$2:$C$7,2,FALSE())</f>
        <v>9600</v>
      </c>
      <c r="G48" s="27">
        <v>7014</v>
      </c>
      <c r="H48" s="25" t="str">
        <f>VLOOKUP(C48,'Customers'!$A$2:$H$41,2,FALSE())</f>
        <v>Ryan Moore</v>
      </c>
      <c r="I48" s="25" t="s">
        <v>11</v>
      </c>
      <c r="J48" s="28">
        <f>IFERROR((Sales[[#This Row],[Revenue]]-Sales[[#This Row],[Cost]])/Sales[[#This Row],[Revenue]],0)</f>
        <v>0.26937499999999998</v>
      </c>
      <c r="K48" s="28" t="str">
        <f>_xlfn.IFNA(_xlfn.XLOOKUP(Sales[[#This Row],[Customer ID]],Customers[Customer ID],Customers[Region]),"Not found")</f>
        <v>South</v>
      </c>
      <c r="L48" s="29">
        <f>DATE(YEAR(Sales[[#This Row],[Date]]),MONTH(Sales[[#This Row],[Date]]),1)</f>
        <v>45474</v>
      </c>
      <c r="M48" s="24"/>
    </row>
    <row r="49" spans="1:13" ht="16.8" x14ac:dyDescent="0.4">
      <c r="A49" s="30" t="s">
        <v>199</v>
      </c>
      <c r="B49" s="31">
        <v>45816</v>
      </c>
      <c r="C49" s="30" t="s">
        <v>42</v>
      </c>
      <c r="D49" s="30" t="s">
        <v>14</v>
      </c>
      <c r="E49" s="30">
        <v>44</v>
      </c>
      <c r="F49" s="32">
        <f>E49*VLOOKUP(D49,Products!$A$2:$C$7,2,FALSE())</f>
        <v>52800</v>
      </c>
      <c r="G49" s="32">
        <v>40651</v>
      </c>
      <c r="H49" s="30" t="str">
        <f>VLOOKUP(C49,'Customers'!$A$2:$H$41,2,FALSE())</f>
        <v>Daniel Miller</v>
      </c>
      <c r="I49" s="30" t="s">
        <v>15</v>
      </c>
      <c r="J49" s="33">
        <f>IFERROR((Sales[[#This Row],[Revenue]]-Sales[[#This Row],[Cost]])/Sales[[#This Row],[Revenue]],0)</f>
        <v>0.23009469696969698</v>
      </c>
      <c r="K49" s="33" t="str">
        <f>_xlfn.IFNA(_xlfn.XLOOKUP(Sales[[#This Row],[Customer ID]],Customers[Customer ID],Customers[Region]),"Not found")</f>
        <v>Midwest</v>
      </c>
      <c r="L49" s="34">
        <f>DATE(YEAR(Sales[[#This Row],[Date]]),MONTH(Sales[[#This Row],[Date]]),1)</f>
        <v>45809</v>
      </c>
      <c r="M49" s="24"/>
    </row>
    <row r="50" spans="1:13" ht="16.8" x14ac:dyDescent="0.4">
      <c r="A50" s="25" t="s">
        <v>91</v>
      </c>
      <c r="B50" s="26">
        <v>45483</v>
      </c>
      <c r="C50" s="25" t="s">
        <v>58</v>
      </c>
      <c r="D50" s="25" t="s">
        <v>10</v>
      </c>
      <c r="E50" s="25">
        <v>38</v>
      </c>
      <c r="F50" s="27">
        <f>E50*VLOOKUP(D50,Products!$A$2:$C$7,2,FALSE())</f>
        <v>32300</v>
      </c>
      <c r="G50" s="27">
        <v>23468</v>
      </c>
      <c r="H50" s="25" t="str">
        <f>VLOOKUP(C50,'Customers'!$A$2:$H$41,2,FALSE())</f>
        <v>Stephanie Lee</v>
      </c>
      <c r="I50" s="25" t="s">
        <v>15</v>
      </c>
      <c r="J50" s="28">
        <f>IFERROR((Sales[[#This Row],[Revenue]]-Sales[[#This Row],[Cost]])/Sales[[#This Row],[Revenue]],0)</f>
        <v>0.27343653250773992</v>
      </c>
      <c r="K50" s="28" t="str">
        <f>_xlfn.IFNA(_xlfn.XLOOKUP(Sales[[#This Row],[Customer ID]],Customers[Customer ID],Customers[Region]),"Not found")</f>
        <v>Northeast</v>
      </c>
      <c r="L50" s="29">
        <f>DATE(YEAR(Sales[[#This Row],[Date]]),MONTH(Sales[[#This Row],[Date]]),1)</f>
        <v>45474</v>
      </c>
      <c r="M50" s="24"/>
    </row>
    <row r="51" spans="1:13" ht="16.8" x14ac:dyDescent="0.4">
      <c r="A51" s="30" t="s">
        <v>193</v>
      </c>
      <c r="B51" s="31">
        <v>45799</v>
      </c>
      <c r="C51" s="30" t="s">
        <v>69</v>
      </c>
      <c r="D51" s="30" t="s">
        <v>18</v>
      </c>
      <c r="E51" s="30">
        <v>9</v>
      </c>
      <c r="F51" s="32">
        <f>E51*VLOOKUP(D51,Products!$A$2:$C$7,2,FALSE())</f>
        <v>85500</v>
      </c>
      <c r="G51" s="32">
        <v>63091</v>
      </c>
      <c r="H51" s="30" t="str">
        <f>VLOOKUP(C51,'Customers'!$A$2:$H$41,2,FALSE())</f>
        <v>Joshua Thomas</v>
      </c>
      <c r="I51" s="30" t="s">
        <v>15</v>
      </c>
      <c r="J51" s="33">
        <f>IFERROR((Sales[[#This Row],[Revenue]]-Sales[[#This Row],[Cost]])/Sales[[#This Row],[Revenue]],0)</f>
        <v>0.26209356725146199</v>
      </c>
      <c r="K51" s="33" t="str">
        <f>_xlfn.IFNA(_xlfn.XLOOKUP(Sales[[#This Row],[Customer ID]],Customers[Customer ID],Customers[Region]),"Not found")</f>
        <v>West</v>
      </c>
      <c r="L51" s="34">
        <f>DATE(YEAR(Sales[[#This Row],[Date]]),MONTH(Sales[[#This Row],[Date]]),1)</f>
        <v>45778</v>
      </c>
      <c r="M51" s="24"/>
    </row>
    <row r="52" spans="1:13" ht="16.8" x14ac:dyDescent="0.4">
      <c r="A52" s="25" t="s">
        <v>93</v>
      </c>
      <c r="B52" s="26">
        <v>45485</v>
      </c>
      <c r="C52" s="25" t="s">
        <v>82</v>
      </c>
      <c r="D52" s="25" t="s">
        <v>52</v>
      </c>
      <c r="E52" s="25">
        <v>7</v>
      </c>
      <c r="F52" s="27">
        <f>E52*VLOOKUP(D52,Products!$A$2:$C$7,2,FALSE())</f>
        <v>12600</v>
      </c>
      <c r="G52" s="27">
        <v>9574</v>
      </c>
      <c r="H52" s="25" t="str">
        <f>VLOOKUP(C52,'Customers'!$A$2:$H$41,2,FALSE())</f>
        <v>Ryan Moore</v>
      </c>
      <c r="I52" s="25" t="s">
        <v>15</v>
      </c>
      <c r="J52" s="28">
        <f>IFERROR((Sales[[#This Row],[Revenue]]-Sales[[#This Row],[Cost]])/Sales[[#This Row],[Revenue]],0)</f>
        <v>0.24015873015873015</v>
      </c>
      <c r="K52" s="28" t="str">
        <f>_xlfn.IFNA(_xlfn.XLOOKUP(Sales[[#This Row],[Customer ID]],Customers[Customer ID],Customers[Region]),"Not found")</f>
        <v>South</v>
      </c>
      <c r="L52" s="29">
        <f>DATE(YEAR(Sales[[#This Row],[Date]]),MONTH(Sales[[#This Row],[Date]]),1)</f>
        <v>45474</v>
      </c>
      <c r="M52" s="24"/>
    </row>
    <row r="53" spans="1:13" ht="16.8" x14ac:dyDescent="0.4">
      <c r="A53" s="30" t="s">
        <v>94</v>
      </c>
      <c r="B53" s="31">
        <v>45486</v>
      </c>
      <c r="C53" s="30" t="s">
        <v>58</v>
      </c>
      <c r="D53" s="30" t="s">
        <v>27</v>
      </c>
      <c r="E53" s="30">
        <v>49</v>
      </c>
      <c r="F53" s="32">
        <f>E53*VLOOKUP(D53,Products!$A$2:$C$7,2,FALSE())</f>
        <v>14700</v>
      </c>
      <c r="G53" s="32">
        <v>9880</v>
      </c>
      <c r="H53" s="30" t="str">
        <f>VLOOKUP(C53,'Customers'!$A$2:$H$41,2,FALSE())</f>
        <v>Stephanie Lee</v>
      </c>
      <c r="I53" s="30" t="s">
        <v>15</v>
      </c>
      <c r="J53" s="33">
        <f>IFERROR((Sales[[#This Row],[Revenue]]-Sales[[#This Row],[Cost]])/Sales[[#This Row],[Revenue]],0)</f>
        <v>0.32789115646258504</v>
      </c>
      <c r="K53" s="33" t="str">
        <f>_xlfn.IFNA(_xlfn.XLOOKUP(Sales[[#This Row],[Customer ID]],Customers[Customer ID],Customers[Region]),"Not found")</f>
        <v>Northeast</v>
      </c>
      <c r="L53" s="34">
        <f>DATE(YEAR(Sales[[#This Row],[Date]]),MONTH(Sales[[#This Row],[Date]]),1)</f>
        <v>45474</v>
      </c>
      <c r="M53" s="24"/>
    </row>
    <row r="54" spans="1:13" ht="16.8" x14ac:dyDescent="0.4">
      <c r="A54" s="25" t="s">
        <v>95</v>
      </c>
      <c r="B54" s="26">
        <v>45487</v>
      </c>
      <c r="C54" s="25" t="s">
        <v>85</v>
      </c>
      <c r="D54" s="25" t="s">
        <v>10</v>
      </c>
      <c r="E54" s="25">
        <v>39</v>
      </c>
      <c r="F54" s="27">
        <f>E54*VLOOKUP(D54,Products!$A$2:$C$7,2,FALSE())</f>
        <v>33150</v>
      </c>
      <c r="G54" s="27">
        <v>23881</v>
      </c>
      <c r="H54" s="25" t="str">
        <f>VLOOKUP(C54,'Customers'!$A$2:$H$41,2,FALSE())</f>
        <v>Brittany Scott</v>
      </c>
      <c r="I54" s="25" t="s">
        <v>15</v>
      </c>
      <c r="J54" s="28">
        <f>IFERROR((Sales[[#This Row],[Revenue]]-Sales[[#This Row],[Cost]])/Sales[[#This Row],[Revenue]],0)</f>
        <v>0.2796078431372549</v>
      </c>
      <c r="K54" s="28" t="str">
        <f>_xlfn.IFNA(_xlfn.XLOOKUP(Sales[[#This Row],[Customer ID]],Customers[Customer ID],Customers[Region]),"Not found")</f>
        <v>West</v>
      </c>
      <c r="L54" s="29">
        <f>DATE(YEAR(Sales[[#This Row],[Date]]),MONTH(Sales[[#This Row],[Date]]),1)</f>
        <v>45474</v>
      </c>
      <c r="M54" s="24"/>
    </row>
    <row r="55" spans="1:13" ht="16.8" x14ac:dyDescent="0.4">
      <c r="A55" s="30" t="s">
        <v>96</v>
      </c>
      <c r="B55" s="31">
        <v>45493</v>
      </c>
      <c r="C55" s="30" t="s">
        <v>97</v>
      </c>
      <c r="D55" s="30" t="s">
        <v>14</v>
      </c>
      <c r="E55" s="30">
        <v>38</v>
      </c>
      <c r="F55" s="32">
        <f>E55*VLOOKUP(D55,Products!$A$2:$C$7,2,FALSE())</f>
        <v>45600</v>
      </c>
      <c r="G55" s="32">
        <v>34015</v>
      </c>
      <c r="H55" s="30" t="str">
        <f>VLOOKUP(C55,'Customers'!$A$2:$H$41,2,FALSE())</f>
        <v>Michael Williams</v>
      </c>
      <c r="I55" s="30" t="s">
        <v>15</v>
      </c>
      <c r="J55" s="33">
        <f>IFERROR((Sales[[#This Row],[Revenue]]-Sales[[#This Row],[Cost]])/Sales[[#This Row],[Revenue]],0)</f>
        <v>0.25405701754385968</v>
      </c>
      <c r="K55" s="33" t="str">
        <f>_xlfn.IFNA(_xlfn.XLOOKUP(Sales[[#This Row],[Customer ID]],Customers[Customer ID],Customers[Region]),"Not found")</f>
        <v>Midwest</v>
      </c>
      <c r="L55" s="34">
        <f>DATE(YEAR(Sales[[#This Row],[Date]]),MONTH(Sales[[#This Row],[Date]]),1)</f>
        <v>45474</v>
      </c>
      <c r="M55" s="24"/>
    </row>
    <row r="56" spans="1:13" ht="16.8" x14ac:dyDescent="0.4">
      <c r="A56" s="25" t="s">
        <v>98</v>
      </c>
      <c r="B56" s="26">
        <v>45497</v>
      </c>
      <c r="C56" s="25" t="s">
        <v>34</v>
      </c>
      <c r="D56" s="25" t="s">
        <v>27</v>
      </c>
      <c r="E56" s="25">
        <v>17</v>
      </c>
      <c r="F56" s="27">
        <f>E56*VLOOKUP(D56,Products!$A$2:$C$7,2,FALSE())</f>
        <v>5100</v>
      </c>
      <c r="G56" s="27">
        <v>3683</v>
      </c>
      <c r="H56" s="25" t="str">
        <f>VLOOKUP(C56,'Customers'!$A$2:$H$41,2,FALSE())</f>
        <v>Victoria Nelson</v>
      </c>
      <c r="I56" s="25" t="s">
        <v>15</v>
      </c>
      <c r="J56" s="28">
        <f>IFERROR((Sales[[#This Row],[Revenue]]-Sales[[#This Row],[Cost]])/Sales[[#This Row],[Revenue]],0)</f>
        <v>0.27784313725490195</v>
      </c>
      <c r="K56" s="28" t="str">
        <f>_xlfn.IFNA(_xlfn.XLOOKUP(Sales[[#This Row],[Customer ID]],Customers[Customer ID],Customers[Region]),"Not found")</f>
        <v>Northeast</v>
      </c>
      <c r="L56" s="29">
        <f>DATE(YEAR(Sales[[#This Row],[Date]]),MONTH(Sales[[#This Row],[Date]]),1)</f>
        <v>45474</v>
      </c>
      <c r="M56" s="24"/>
    </row>
    <row r="57" spans="1:13" ht="16.8" x14ac:dyDescent="0.4">
      <c r="A57" s="30" t="s">
        <v>99</v>
      </c>
      <c r="B57" s="31">
        <v>45506</v>
      </c>
      <c r="C57" s="30" t="s">
        <v>44</v>
      </c>
      <c r="D57" s="30" t="s">
        <v>14</v>
      </c>
      <c r="E57" s="30">
        <v>9</v>
      </c>
      <c r="F57" s="32">
        <f>E57*VLOOKUP(D57,Products!$A$2:$C$7,2,FALSE())</f>
        <v>10800</v>
      </c>
      <c r="G57" s="32">
        <v>7923</v>
      </c>
      <c r="H57" s="30" t="str">
        <f>VLOOKUP(C57,'Customers'!$A$2:$H$41,2,FALSE())</f>
        <v>James Smith</v>
      </c>
      <c r="I57" s="30" t="s">
        <v>15</v>
      </c>
      <c r="J57" s="33">
        <f>IFERROR((Sales[[#This Row],[Revenue]]-Sales[[#This Row],[Cost]])/Sales[[#This Row],[Revenue]],0)</f>
        <v>0.2663888888888889</v>
      </c>
      <c r="K57" s="33" t="str">
        <f>_xlfn.IFNA(_xlfn.XLOOKUP(Sales[[#This Row],[Customer ID]],Customers[Customer ID],Customers[Region]),"Not found")</f>
        <v>Midwest</v>
      </c>
      <c r="L57" s="34">
        <f>DATE(YEAR(Sales[[#This Row],[Date]]),MONTH(Sales[[#This Row],[Date]]),1)</f>
        <v>45505</v>
      </c>
      <c r="M57" s="24"/>
    </row>
    <row r="58" spans="1:13" ht="16.8" x14ac:dyDescent="0.4">
      <c r="A58" s="25" t="s">
        <v>100</v>
      </c>
      <c r="B58" s="26">
        <v>45510</v>
      </c>
      <c r="C58" s="25" t="s">
        <v>56</v>
      </c>
      <c r="D58" s="25" t="s">
        <v>24</v>
      </c>
      <c r="E58" s="25">
        <v>5</v>
      </c>
      <c r="F58" s="27">
        <f>E58*VLOOKUP(D58,Products!$A$2:$C$7,2,FALSE())</f>
        <v>2250</v>
      </c>
      <c r="G58" s="27">
        <v>1539</v>
      </c>
      <c r="H58" s="25" t="str">
        <f>VLOOKUP(C58,'Customers'!$A$2:$H$41,2,FALSE())</f>
        <v>Nathan Allen</v>
      </c>
      <c r="I58" s="25" t="s">
        <v>15</v>
      </c>
      <c r="J58" s="28">
        <f>IFERROR((Sales[[#This Row],[Revenue]]-Sales[[#This Row],[Cost]])/Sales[[#This Row],[Revenue]],0)</f>
        <v>0.316</v>
      </c>
      <c r="K58" s="28" t="str">
        <f>_xlfn.IFNA(_xlfn.XLOOKUP(Sales[[#This Row],[Customer ID]],Customers[Customer ID],Customers[Region]),"Not found")</f>
        <v>West</v>
      </c>
      <c r="L58" s="29">
        <f>DATE(YEAR(Sales[[#This Row],[Date]]),MONTH(Sales[[#This Row],[Date]]),1)</f>
        <v>45505</v>
      </c>
      <c r="M58" s="24"/>
    </row>
    <row r="59" spans="1:13" ht="16.8" x14ac:dyDescent="0.4">
      <c r="A59" s="30" t="s">
        <v>101</v>
      </c>
      <c r="B59" s="31">
        <v>45513</v>
      </c>
      <c r="C59" s="30" t="s">
        <v>102</v>
      </c>
      <c r="D59" s="30" t="s">
        <v>18</v>
      </c>
      <c r="E59" s="30">
        <v>2</v>
      </c>
      <c r="F59" s="32">
        <f>E59*VLOOKUP(D59,Products!$A$2:$C$7,2,FALSE())</f>
        <v>19000</v>
      </c>
      <c r="G59" s="32">
        <v>14233</v>
      </c>
      <c r="H59" s="30" t="str">
        <f>VLOOKUP(C59,'Customers'!$A$2:$H$41,2,FALSE())</f>
        <v>Christopher Hernandez</v>
      </c>
      <c r="I59" s="30" t="s">
        <v>15</v>
      </c>
      <c r="J59" s="33">
        <f>IFERROR((Sales[[#This Row],[Revenue]]-Sales[[#This Row],[Cost]])/Sales[[#This Row],[Revenue]],0)</f>
        <v>0.25089473684210528</v>
      </c>
      <c r="K59" s="33" t="str">
        <f>_xlfn.IFNA(_xlfn.XLOOKUP(Sales[[#This Row],[Customer ID]],Customers[Customer ID],Customers[Region]),"Not found")</f>
        <v>Midwest</v>
      </c>
      <c r="L59" s="34">
        <f>DATE(YEAR(Sales[[#This Row],[Date]]),MONTH(Sales[[#This Row],[Date]]),1)</f>
        <v>45505</v>
      </c>
      <c r="M59" s="24"/>
    </row>
    <row r="60" spans="1:13" ht="16.8" x14ac:dyDescent="0.4">
      <c r="A60" s="25" t="s">
        <v>103</v>
      </c>
      <c r="B60" s="26">
        <v>45514</v>
      </c>
      <c r="C60" s="25" t="s">
        <v>17</v>
      </c>
      <c r="D60" s="25" t="s">
        <v>14</v>
      </c>
      <c r="E60" s="25">
        <v>16</v>
      </c>
      <c r="F60" s="27">
        <f>E60*VLOOKUP(D60,Products!$A$2:$C$7,2,FALSE())</f>
        <v>19200</v>
      </c>
      <c r="G60" s="27">
        <v>14235</v>
      </c>
      <c r="H60" s="25" t="str">
        <f>VLOOKUP(C60,'Customers'!$A$2:$H$41,2,FALSE())</f>
        <v>Kevin Harris</v>
      </c>
      <c r="I60" s="25" t="s">
        <v>15</v>
      </c>
      <c r="J60" s="28">
        <f>IFERROR((Sales[[#This Row],[Revenue]]-Sales[[#This Row],[Cost]])/Sales[[#This Row],[Revenue]],0)</f>
        <v>0.25859375000000001</v>
      </c>
      <c r="K60" s="28" t="str">
        <f>_xlfn.IFNA(_xlfn.XLOOKUP(Sales[[#This Row],[Customer ID]],Customers[Customer ID],Customers[Region]),"Not found")</f>
        <v>South</v>
      </c>
      <c r="L60" s="29">
        <f>DATE(YEAR(Sales[[#This Row],[Date]]),MONTH(Sales[[#This Row],[Date]]),1)</f>
        <v>45505</v>
      </c>
      <c r="M60" s="24"/>
    </row>
    <row r="61" spans="1:13" ht="16.8" x14ac:dyDescent="0.4">
      <c r="A61" s="30" t="s">
        <v>104</v>
      </c>
      <c r="B61" s="31">
        <v>45515</v>
      </c>
      <c r="C61" s="30" t="s">
        <v>60</v>
      </c>
      <c r="D61" s="30" t="s">
        <v>14</v>
      </c>
      <c r="E61" s="30">
        <v>30</v>
      </c>
      <c r="F61" s="32">
        <f>E61*VLOOKUP(D61,Products!$A$2:$C$7,2,FALSE())</f>
        <v>36000</v>
      </c>
      <c r="G61" s="32">
        <v>27181</v>
      </c>
      <c r="H61" s="30" t="str">
        <f>VLOOKUP(C61,'Customers'!$A$2:$H$41,2,FALSE())</f>
        <v>Matthew Rodriguez</v>
      </c>
      <c r="I61" s="30" t="s">
        <v>15</v>
      </c>
      <c r="J61" s="33">
        <f>IFERROR((Sales[[#This Row],[Revenue]]-Sales[[#This Row],[Cost]])/Sales[[#This Row],[Revenue]],0)</f>
        <v>0.24497222222222223</v>
      </c>
      <c r="K61" s="33" t="str">
        <f>_xlfn.IFNA(_xlfn.XLOOKUP(Sales[[#This Row],[Customer ID]],Customers[Customer ID],Customers[Region]),"Not found")</f>
        <v>West</v>
      </c>
      <c r="L61" s="34">
        <f>DATE(YEAR(Sales[[#This Row],[Date]]),MONTH(Sales[[#This Row],[Date]]),1)</f>
        <v>45505</v>
      </c>
      <c r="M61" s="24"/>
    </row>
    <row r="62" spans="1:13" ht="16.8" x14ac:dyDescent="0.4">
      <c r="A62" s="25" t="s">
        <v>105</v>
      </c>
      <c r="B62" s="26">
        <v>45515</v>
      </c>
      <c r="C62" s="25" t="s">
        <v>51</v>
      </c>
      <c r="D62" s="25" t="s">
        <v>27</v>
      </c>
      <c r="E62" s="25">
        <v>20</v>
      </c>
      <c r="F62" s="27">
        <f>E62*VLOOKUP(D62,Products!$A$2:$C$7,2,FALSE())</f>
        <v>6000</v>
      </c>
      <c r="G62" s="27">
        <v>4101</v>
      </c>
      <c r="H62" s="25" t="str">
        <f>VLOOKUP(C62,'Customers'!$A$2:$H$41,2,FALSE())</f>
        <v>Tyler Thompson</v>
      </c>
      <c r="I62" s="25" t="s">
        <v>15</v>
      </c>
      <c r="J62" s="28">
        <f>IFERROR((Sales[[#This Row],[Revenue]]-Sales[[#This Row],[Cost]])/Sales[[#This Row],[Revenue]],0)</f>
        <v>0.3165</v>
      </c>
      <c r="K62" s="28" t="str">
        <f>_xlfn.IFNA(_xlfn.XLOOKUP(Sales[[#This Row],[Customer ID]],Customers[Customer ID],Customers[Region]),"Not found")</f>
        <v>South</v>
      </c>
      <c r="L62" s="29">
        <f>DATE(YEAR(Sales[[#This Row],[Date]]),MONTH(Sales[[#This Row],[Date]]),1)</f>
        <v>45505</v>
      </c>
      <c r="M62" s="24"/>
    </row>
    <row r="63" spans="1:13" ht="16.8" x14ac:dyDescent="0.4">
      <c r="A63" s="30" t="s">
        <v>106</v>
      </c>
      <c r="B63" s="31">
        <v>45524</v>
      </c>
      <c r="C63" s="30" t="s">
        <v>107</v>
      </c>
      <c r="D63" s="30" t="s">
        <v>14</v>
      </c>
      <c r="E63" s="30">
        <v>7</v>
      </c>
      <c r="F63" s="32">
        <f>E63*VLOOKUP(D63,Products!$A$2:$C$7,2,FALSE())</f>
        <v>8400</v>
      </c>
      <c r="G63" s="32">
        <v>6287</v>
      </c>
      <c r="H63" s="30" t="str">
        <f>VLOOKUP(C63,'Customers'!$A$2:$H$41,2,FALSE())</f>
        <v>Brandon Martin</v>
      </c>
      <c r="I63" s="30" t="s">
        <v>15</v>
      </c>
      <c r="J63" s="33">
        <f>IFERROR((Sales[[#This Row],[Revenue]]-Sales[[#This Row],[Cost]])/Sales[[#This Row],[Revenue]],0)</f>
        <v>0.25154761904761902</v>
      </c>
      <c r="K63" s="33" t="str">
        <f>_xlfn.IFNA(_xlfn.XLOOKUP(Sales[[#This Row],[Customer ID]],Customers[Customer ID],Customers[Region]),"Not found")</f>
        <v>Northeast</v>
      </c>
      <c r="L63" s="34">
        <f>DATE(YEAR(Sales[[#This Row],[Date]]),MONTH(Sales[[#This Row],[Date]]),1)</f>
        <v>45505</v>
      </c>
      <c r="M63" s="24"/>
    </row>
    <row r="64" spans="1:13" ht="16.8" x14ac:dyDescent="0.4">
      <c r="A64" s="25" t="s">
        <v>191</v>
      </c>
      <c r="B64" s="26">
        <v>45797</v>
      </c>
      <c r="C64" s="25" t="s">
        <v>44</v>
      </c>
      <c r="D64" s="25" t="s">
        <v>52</v>
      </c>
      <c r="E64" s="25">
        <v>39</v>
      </c>
      <c r="F64" s="27">
        <f>E64*VLOOKUP(D64,Products!$A$2:$C$7,2,FALSE())</f>
        <v>70200</v>
      </c>
      <c r="G64" s="27">
        <v>51456</v>
      </c>
      <c r="H64" s="25" t="str">
        <f>VLOOKUP(C64,'Customers'!$A$2:$H$41,2,FALSE())</f>
        <v>James Smith</v>
      </c>
      <c r="I64" s="25" t="s">
        <v>11</v>
      </c>
      <c r="J64" s="28">
        <f>IFERROR((Sales[[#This Row],[Revenue]]-Sales[[#This Row],[Cost]])/Sales[[#This Row],[Revenue]],0)</f>
        <v>0.26700854700854698</v>
      </c>
      <c r="K64" s="28" t="str">
        <f>_xlfn.IFNA(_xlfn.XLOOKUP(Sales[[#This Row],[Customer ID]],Customers[Customer ID],Customers[Region]),"Not found")</f>
        <v>Midwest</v>
      </c>
      <c r="L64" s="29">
        <f>DATE(YEAR(Sales[[#This Row],[Date]]),MONTH(Sales[[#This Row],[Date]]),1)</f>
        <v>45778</v>
      </c>
      <c r="M64" s="24"/>
    </row>
    <row r="65" spans="1:13" ht="16.8" x14ac:dyDescent="0.4">
      <c r="A65" s="30" t="s">
        <v>109</v>
      </c>
      <c r="B65" s="31">
        <v>45536</v>
      </c>
      <c r="C65" s="30" t="s">
        <v>58</v>
      </c>
      <c r="D65" s="30" t="s">
        <v>24</v>
      </c>
      <c r="E65" s="30">
        <v>45</v>
      </c>
      <c r="F65" s="32">
        <f>E65*VLOOKUP(D65,Products!$A$2:$C$7,2,FALSE())</f>
        <v>20250</v>
      </c>
      <c r="G65" s="32">
        <v>13996</v>
      </c>
      <c r="H65" s="30" t="str">
        <f>VLOOKUP(C65,'Customers'!$A$2:$H$41,2,FALSE())</f>
        <v>Stephanie Lee</v>
      </c>
      <c r="I65" s="30" t="s">
        <v>15</v>
      </c>
      <c r="J65" s="33">
        <f>IFERROR((Sales[[#This Row],[Revenue]]-Sales[[#This Row],[Cost]])/Sales[[#This Row],[Revenue]],0)</f>
        <v>0.30883950617283951</v>
      </c>
      <c r="K65" s="33" t="str">
        <f>_xlfn.IFNA(_xlfn.XLOOKUP(Sales[[#This Row],[Customer ID]],Customers[Customer ID],Customers[Region]),"Not found")</f>
        <v>Northeast</v>
      </c>
      <c r="L65" s="34">
        <f>DATE(YEAR(Sales[[#This Row],[Date]]),MONTH(Sales[[#This Row],[Date]]),1)</f>
        <v>45536</v>
      </c>
      <c r="M65" s="24"/>
    </row>
    <row r="66" spans="1:13" ht="16.8" x14ac:dyDescent="0.4">
      <c r="A66" s="25" t="s">
        <v>185</v>
      </c>
      <c r="B66" s="26">
        <v>45784</v>
      </c>
      <c r="C66" s="25" t="s">
        <v>107</v>
      </c>
      <c r="D66" s="25" t="s">
        <v>52</v>
      </c>
      <c r="E66" s="25">
        <v>52</v>
      </c>
      <c r="F66" s="27">
        <f>E66*VLOOKUP(D66,Products!$A$2:$C$7,2,FALSE())</f>
        <v>93600</v>
      </c>
      <c r="G66" s="27">
        <v>69194</v>
      </c>
      <c r="H66" s="25" t="str">
        <f>VLOOKUP(C66,'Customers'!$A$2:$H$41,2,FALSE())</f>
        <v>Brandon Martin</v>
      </c>
      <c r="I66" s="25" t="s">
        <v>47</v>
      </c>
      <c r="J66" s="28">
        <f>IFERROR((Sales[[#This Row],[Revenue]]-Sales[[#This Row],[Cost]])/Sales[[#This Row],[Revenue]],0)</f>
        <v>0.26074786324786325</v>
      </c>
      <c r="K66" s="28" t="str">
        <f>_xlfn.IFNA(_xlfn.XLOOKUP(Sales[[#This Row],[Customer ID]],Customers[Customer ID],Customers[Region]),"Not found")</f>
        <v>Northeast</v>
      </c>
      <c r="L66" s="29">
        <f>DATE(YEAR(Sales[[#This Row],[Date]]),MONTH(Sales[[#This Row],[Date]]),1)</f>
        <v>45778</v>
      </c>
      <c r="M66" s="24"/>
    </row>
    <row r="67" spans="1:13" ht="16.8" x14ac:dyDescent="0.4">
      <c r="A67" s="30" t="s">
        <v>180</v>
      </c>
      <c r="B67" s="31">
        <v>45752</v>
      </c>
      <c r="C67" s="30" t="s">
        <v>149</v>
      </c>
      <c r="D67" s="30" t="s">
        <v>52</v>
      </c>
      <c r="E67" s="30">
        <v>50</v>
      </c>
      <c r="F67" s="32">
        <f>E67*VLOOKUP(D67,Products!$A$2:$C$7,2,FALSE())</f>
        <v>90000</v>
      </c>
      <c r="G67" s="32">
        <v>65328</v>
      </c>
      <c r="H67" s="30" t="str">
        <f>VLOOKUP(C67,'Customers'!$A$2:$H$41,2,FALSE())</f>
        <v>Hannah Young</v>
      </c>
      <c r="I67" s="30" t="s">
        <v>11</v>
      </c>
      <c r="J67" s="33">
        <f>IFERROR((Sales[[#This Row],[Revenue]]-Sales[[#This Row],[Cost]])/Sales[[#This Row],[Revenue]],0)</f>
        <v>0.27413333333333334</v>
      </c>
      <c r="K67" s="33" t="str">
        <f>_xlfn.IFNA(_xlfn.XLOOKUP(Sales[[#This Row],[Customer ID]],Customers[Customer ID],Customers[Region]),"Not found")</f>
        <v>Northeast</v>
      </c>
      <c r="L67" s="34">
        <f>DATE(YEAR(Sales[[#This Row],[Date]]),MONTH(Sales[[#This Row],[Date]]),1)</f>
        <v>45748</v>
      </c>
      <c r="M67" s="24"/>
    </row>
    <row r="68" spans="1:13" ht="16.8" x14ac:dyDescent="0.4">
      <c r="A68" s="25" t="s">
        <v>173</v>
      </c>
      <c r="B68" s="26">
        <v>45731</v>
      </c>
      <c r="C68" s="25" t="s">
        <v>60</v>
      </c>
      <c r="D68" s="25" t="s">
        <v>18</v>
      </c>
      <c r="E68" s="25">
        <v>10</v>
      </c>
      <c r="F68" s="27">
        <f>E68*VLOOKUP(D68,Products!$A$2:$C$7,2,FALSE())</f>
        <v>95000</v>
      </c>
      <c r="G68" s="27">
        <v>74118</v>
      </c>
      <c r="H68" s="25" t="str">
        <f>VLOOKUP(C68,'Customers'!$A$2:$H$41,2,FALSE())</f>
        <v>Matthew Rodriguez</v>
      </c>
      <c r="I68" s="25" t="s">
        <v>47</v>
      </c>
      <c r="J68" s="28">
        <f>IFERROR((Sales[[#This Row],[Revenue]]-Sales[[#This Row],[Cost]])/Sales[[#This Row],[Revenue]],0)</f>
        <v>0.21981052631578948</v>
      </c>
      <c r="K68" s="28" t="str">
        <f>_xlfn.IFNA(_xlfn.XLOOKUP(Sales[[#This Row],[Customer ID]],Customers[Customer ID],Customers[Region]),"Not found")</f>
        <v>West</v>
      </c>
      <c r="L68" s="29">
        <f>DATE(YEAR(Sales[[#This Row],[Date]]),MONTH(Sales[[#This Row],[Date]]),1)</f>
        <v>45717</v>
      </c>
      <c r="M68" s="24"/>
    </row>
    <row r="69" spans="1:13" ht="16.8" x14ac:dyDescent="0.4">
      <c r="A69" s="30" t="s">
        <v>114</v>
      </c>
      <c r="B69" s="31">
        <v>45543</v>
      </c>
      <c r="C69" s="30" t="s">
        <v>44</v>
      </c>
      <c r="D69" s="30" t="s">
        <v>27</v>
      </c>
      <c r="E69" s="30">
        <v>10</v>
      </c>
      <c r="F69" s="32">
        <f>E69*VLOOKUP(D69,Products!$A$2:$C$7,2,FALSE())</f>
        <v>3000</v>
      </c>
      <c r="G69" s="32">
        <v>2124</v>
      </c>
      <c r="H69" s="30" t="str">
        <f>VLOOKUP(C69,'Customers'!$A$2:$H$41,2,FALSE())</f>
        <v>James Smith</v>
      </c>
      <c r="I69" s="30" t="s">
        <v>15</v>
      </c>
      <c r="J69" s="33">
        <f>IFERROR((Sales[[#This Row],[Revenue]]-Sales[[#This Row],[Cost]])/Sales[[#This Row],[Revenue]],0)</f>
        <v>0.29199999999999998</v>
      </c>
      <c r="K69" s="33" t="str">
        <f>_xlfn.IFNA(_xlfn.XLOOKUP(Sales[[#This Row],[Customer ID]],Customers[Customer ID],Customers[Region]),"Not found")</f>
        <v>Midwest</v>
      </c>
      <c r="L69" s="34">
        <f>DATE(YEAR(Sales[[#This Row],[Date]]),MONTH(Sales[[#This Row],[Date]]),1)</f>
        <v>45536</v>
      </c>
      <c r="M69" s="24"/>
    </row>
    <row r="70" spans="1:13" ht="16.8" x14ac:dyDescent="0.4">
      <c r="A70" s="25" t="s">
        <v>172</v>
      </c>
      <c r="B70" s="26">
        <v>45729</v>
      </c>
      <c r="C70" s="25" t="s">
        <v>56</v>
      </c>
      <c r="D70" s="25" t="s">
        <v>18</v>
      </c>
      <c r="E70" s="25">
        <v>8</v>
      </c>
      <c r="F70" s="27">
        <f>E70*VLOOKUP(D70,Products!$A$2:$C$7,2,FALSE())</f>
        <v>76000</v>
      </c>
      <c r="G70" s="27">
        <v>59403</v>
      </c>
      <c r="H70" s="25" t="str">
        <f>VLOOKUP(C70,'Customers'!$A$2:$H$41,2,FALSE())</f>
        <v>Nathan Allen</v>
      </c>
      <c r="I70" s="25" t="s">
        <v>15</v>
      </c>
      <c r="J70" s="28">
        <f>IFERROR((Sales[[#This Row],[Revenue]]-Sales[[#This Row],[Cost]])/Sales[[#This Row],[Revenue]],0)</f>
        <v>0.21838157894736843</v>
      </c>
      <c r="K70" s="28" t="str">
        <f>_xlfn.IFNA(_xlfn.XLOOKUP(Sales[[#This Row],[Customer ID]],Customers[Customer ID],Customers[Region]),"Not found")</f>
        <v>West</v>
      </c>
      <c r="L70" s="29">
        <f>DATE(YEAR(Sales[[#This Row],[Date]]),MONTH(Sales[[#This Row],[Date]]),1)</f>
        <v>45717</v>
      </c>
      <c r="M70" s="24"/>
    </row>
    <row r="71" spans="1:13" ht="16.8" x14ac:dyDescent="0.4">
      <c r="A71" s="30" t="s">
        <v>116</v>
      </c>
      <c r="B71" s="31">
        <v>45554</v>
      </c>
      <c r="C71" s="30" t="s">
        <v>117</v>
      </c>
      <c r="D71" s="30" t="s">
        <v>27</v>
      </c>
      <c r="E71" s="30">
        <v>47</v>
      </c>
      <c r="F71" s="32">
        <f>E71*VLOOKUP(D71,Products!$A$2:$C$7,2,FALSE())</f>
        <v>14100</v>
      </c>
      <c r="G71" s="32">
        <v>9826</v>
      </c>
      <c r="H71" s="30" t="str">
        <f>VLOOKUP(C71,'Customers'!$A$2:$H$41,2,FALSE())</f>
        <v>Amanda Martinez</v>
      </c>
      <c r="I71" s="30" t="s">
        <v>47</v>
      </c>
      <c r="J71" s="33">
        <f>IFERROR((Sales[[#This Row],[Revenue]]-Sales[[#This Row],[Cost]])/Sales[[#This Row],[Revenue]],0)</f>
        <v>0.30312056737588655</v>
      </c>
      <c r="K71" s="33" t="str">
        <f>_xlfn.IFNA(_xlfn.XLOOKUP(Sales[[#This Row],[Customer ID]],Customers[Customer ID],Customers[Region]),"Not found")</f>
        <v>West</v>
      </c>
      <c r="L71" s="34">
        <f>DATE(YEAR(Sales[[#This Row],[Date]]),MONTH(Sales[[#This Row],[Date]]),1)</f>
        <v>45536</v>
      </c>
      <c r="M71" s="24"/>
    </row>
    <row r="72" spans="1:13" ht="16.8" x14ac:dyDescent="0.4">
      <c r="A72" s="25" t="s">
        <v>168</v>
      </c>
      <c r="B72" s="26">
        <v>45718</v>
      </c>
      <c r="C72" s="25" t="s">
        <v>88</v>
      </c>
      <c r="D72" s="25" t="s">
        <v>18</v>
      </c>
      <c r="E72" s="25">
        <v>11</v>
      </c>
      <c r="F72" s="27">
        <f>E72*VLOOKUP(D72,Products!$A$2:$C$7,2,FALSE())</f>
        <v>104500</v>
      </c>
      <c r="G72" s="27">
        <v>80048</v>
      </c>
      <c r="H72" s="25" t="str">
        <f>VLOOKUP(C72,'Customers'!$A$2:$H$41,2,FALSE())</f>
        <v>Rachel Jackson</v>
      </c>
      <c r="I72" s="25" t="s">
        <v>15</v>
      </c>
      <c r="J72" s="28">
        <f>IFERROR((Sales[[#This Row],[Revenue]]-Sales[[#This Row],[Cost]])/Sales[[#This Row],[Revenue]],0)</f>
        <v>0.23399043062200958</v>
      </c>
      <c r="K72" s="28" t="str">
        <f>_xlfn.IFNA(_xlfn.XLOOKUP(Sales[[#This Row],[Customer ID]],Customers[Customer ID],Customers[Region]),"Not found")</f>
        <v>West</v>
      </c>
      <c r="L72" s="29">
        <f>DATE(YEAR(Sales[[#This Row],[Date]]),MONTH(Sales[[#This Row],[Date]]),1)</f>
        <v>45717</v>
      </c>
      <c r="M72" s="24"/>
    </row>
    <row r="73" spans="1:13" ht="16.8" x14ac:dyDescent="0.4">
      <c r="A73" s="30" t="s">
        <v>120</v>
      </c>
      <c r="B73" s="31">
        <v>45558</v>
      </c>
      <c r="C73" s="30" t="s">
        <v>60</v>
      </c>
      <c r="D73" s="30" t="s">
        <v>27</v>
      </c>
      <c r="E73" s="30">
        <v>38</v>
      </c>
      <c r="F73" s="32">
        <f>E73*VLOOKUP(D73,Products!$A$2:$C$7,2,FALSE())</f>
        <v>11400</v>
      </c>
      <c r="G73" s="32">
        <v>8238</v>
      </c>
      <c r="H73" s="30" t="str">
        <f>VLOOKUP(C73,'Customers'!$A$2:$H$41,2,FALSE())</f>
        <v>Matthew Rodriguez</v>
      </c>
      <c r="I73" s="30" t="s">
        <v>15</v>
      </c>
      <c r="J73" s="33">
        <f>IFERROR((Sales[[#This Row],[Revenue]]-Sales[[#This Row],[Cost]])/Sales[[#This Row],[Revenue]],0)</f>
        <v>0.2773684210526316</v>
      </c>
      <c r="K73" s="33" t="str">
        <f>_xlfn.IFNA(_xlfn.XLOOKUP(Sales[[#This Row],[Customer ID]],Customers[Customer ID],Customers[Region]),"Not found")</f>
        <v>West</v>
      </c>
      <c r="L73" s="34">
        <f>DATE(YEAR(Sales[[#This Row],[Date]]),MONTH(Sales[[#This Row],[Date]]),1)</f>
        <v>45536</v>
      </c>
      <c r="M73" s="24"/>
    </row>
    <row r="74" spans="1:13" ht="16.8" x14ac:dyDescent="0.4">
      <c r="A74" s="25" t="s">
        <v>121</v>
      </c>
      <c r="B74" s="26">
        <v>45561</v>
      </c>
      <c r="C74" s="25" t="s">
        <v>122</v>
      </c>
      <c r="D74" s="25" t="s">
        <v>27</v>
      </c>
      <c r="E74" s="25">
        <v>53</v>
      </c>
      <c r="F74" s="27">
        <f>E74*VLOOKUP(D74,Products!$A$2:$C$7,2,FALSE())</f>
        <v>15900</v>
      </c>
      <c r="G74" s="27">
        <v>11158</v>
      </c>
      <c r="H74" s="25" t="str">
        <f>VLOOKUP(C74,'Customers'!$A$2:$H$41,2,FALSE())</f>
        <v>Jacob Lewis</v>
      </c>
      <c r="I74" s="25" t="s">
        <v>15</v>
      </c>
      <c r="J74" s="28">
        <f>IFERROR((Sales[[#This Row],[Revenue]]-Sales[[#This Row],[Cost]])/Sales[[#This Row],[Revenue]],0)</f>
        <v>0.29823899371069185</v>
      </c>
      <c r="K74" s="28" t="str">
        <f>_xlfn.IFNA(_xlfn.XLOOKUP(Sales[[#This Row],[Customer ID]],Customers[Customer ID],Customers[Region]),"Not found")</f>
        <v>West</v>
      </c>
      <c r="L74" s="29">
        <f>DATE(YEAR(Sales[[#This Row],[Date]]),MONTH(Sales[[#This Row],[Date]]),1)</f>
        <v>45536</v>
      </c>
      <c r="M74" s="24"/>
    </row>
    <row r="75" spans="1:13" ht="16.8" x14ac:dyDescent="0.4">
      <c r="A75" s="30" t="s">
        <v>123</v>
      </c>
      <c r="B75" s="31">
        <v>45566</v>
      </c>
      <c r="C75" s="30" t="s">
        <v>39</v>
      </c>
      <c r="D75" s="30" t="s">
        <v>10</v>
      </c>
      <c r="E75" s="30">
        <v>48</v>
      </c>
      <c r="F75" s="32">
        <f>E75*VLOOKUP(D75,Products!$A$2:$C$7,2,FALSE())</f>
        <v>40800</v>
      </c>
      <c r="G75" s="32">
        <v>29605</v>
      </c>
      <c r="H75" s="30" t="str">
        <f>VLOOKUP(C75,'Customers'!$A$2:$H$41,2,FALSE())</f>
        <v>Aaron Adams</v>
      </c>
      <c r="I75" s="30" t="s">
        <v>15</v>
      </c>
      <c r="J75" s="33">
        <f>IFERROR((Sales[[#This Row],[Revenue]]-Sales[[#This Row],[Cost]])/Sales[[#This Row],[Revenue]],0)</f>
        <v>0.27438725490196081</v>
      </c>
      <c r="K75" s="33" t="str">
        <f>_xlfn.IFNA(_xlfn.XLOOKUP(Sales[[#This Row],[Customer ID]],Customers[Customer ID],Customers[Region]),"Not found")</f>
        <v>Northeast</v>
      </c>
      <c r="L75" s="34">
        <f>DATE(YEAR(Sales[[#This Row],[Date]]),MONTH(Sales[[#This Row],[Date]]),1)</f>
        <v>45566</v>
      </c>
      <c r="M75" s="24"/>
    </row>
    <row r="76" spans="1:13" ht="16.8" x14ac:dyDescent="0.4">
      <c r="A76" s="25" t="s">
        <v>124</v>
      </c>
      <c r="B76" s="26">
        <v>45568</v>
      </c>
      <c r="C76" s="25" t="s">
        <v>97</v>
      </c>
      <c r="D76" s="25" t="s">
        <v>52</v>
      </c>
      <c r="E76" s="25">
        <v>13</v>
      </c>
      <c r="F76" s="27">
        <f>E76*VLOOKUP(D76,Products!$A$2:$C$7,2,FALSE())</f>
        <v>23400</v>
      </c>
      <c r="G76" s="27">
        <v>17942</v>
      </c>
      <c r="H76" s="25" t="str">
        <f>VLOOKUP(C76,'Customers'!$A$2:$H$41,2,FALSE())</f>
        <v>Michael Williams</v>
      </c>
      <c r="I76" s="25" t="s">
        <v>15</v>
      </c>
      <c r="J76" s="28">
        <f>IFERROR((Sales[[#This Row],[Revenue]]-Sales[[#This Row],[Cost]])/Sales[[#This Row],[Revenue]],0)</f>
        <v>0.23324786324786326</v>
      </c>
      <c r="K76" s="28" t="str">
        <f>_xlfn.IFNA(_xlfn.XLOOKUP(Sales[[#This Row],[Customer ID]],Customers[Customer ID],Customers[Region]),"Not found")</f>
        <v>Midwest</v>
      </c>
      <c r="L76" s="29">
        <f>DATE(YEAR(Sales[[#This Row],[Date]]),MONTH(Sales[[#This Row],[Date]]),1)</f>
        <v>45566</v>
      </c>
      <c r="M76" s="24"/>
    </row>
    <row r="77" spans="1:13" ht="16.8" x14ac:dyDescent="0.4">
      <c r="A77" s="30" t="s">
        <v>165</v>
      </c>
      <c r="B77" s="31">
        <v>45714</v>
      </c>
      <c r="C77" s="30" t="s">
        <v>49</v>
      </c>
      <c r="D77" s="30" t="s">
        <v>18</v>
      </c>
      <c r="E77" s="30">
        <v>12</v>
      </c>
      <c r="F77" s="32">
        <f>E77*VLOOKUP(D77,Products!$A$2:$C$7,2,FALSE())</f>
        <v>114000</v>
      </c>
      <c r="G77" s="32">
        <v>83924</v>
      </c>
      <c r="H77" s="30" t="str">
        <f>VLOOKUP(C77,'Customers'!$A$2:$H$41,2,FALSE())</f>
        <v>Emily Johnson</v>
      </c>
      <c r="I77" s="30" t="s">
        <v>15</v>
      </c>
      <c r="J77" s="33">
        <f>IFERROR((Sales[[#This Row],[Revenue]]-Sales[[#This Row],[Cost]])/Sales[[#This Row],[Revenue]],0)</f>
        <v>0.26382456140350879</v>
      </c>
      <c r="K77" s="33" t="str">
        <f>_xlfn.IFNA(_xlfn.XLOOKUP(Sales[[#This Row],[Customer ID]],Customers[Customer ID],Customers[Region]),"Not found")</f>
        <v>Northeast</v>
      </c>
      <c r="L77" s="34">
        <f>DATE(YEAR(Sales[[#This Row],[Date]]),MONTH(Sales[[#This Row],[Date]]),1)</f>
        <v>45689</v>
      </c>
      <c r="M77" s="24"/>
    </row>
    <row r="78" spans="1:13" ht="16.8" x14ac:dyDescent="0.4">
      <c r="A78" s="25" t="s">
        <v>126</v>
      </c>
      <c r="B78" s="26">
        <v>45573</v>
      </c>
      <c r="C78" s="25" t="s">
        <v>31</v>
      </c>
      <c r="D78" s="25" t="s">
        <v>10</v>
      </c>
      <c r="E78" s="25">
        <v>36</v>
      </c>
      <c r="F78" s="27">
        <f>E78*VLOOKUP(D78,Products!$A$2:$C$7,2,FALSE())</f>
        <v>30600</v>
      </c>
      <c r="G78" s="27">
        <v>22031</v>
      </c>
      <c r="H78" s="25" t="str">
        <f>VLOOKUP(C78,'Customers'!$A$2:$H$41,2,FALSE())</f>
        <v>Olivia King</v>
      </c>
      <c r="I78" s="25" t="s">
        <v>15</v>
      </c>
      <c r="J78" s="28">
        <f>IFERROR((Sales[[#This Row],[Revenue]]-Sales[[#This Row],[Cost]])/Sales[[#This Row],[Revenue]],0)</f>
        <v>0.28003267973856211</v>
      </c>
      <c r="K78" s="28" t="str">
        <f>_xlfn.IFNA(_xlfn.XLOOKUP(Sales[[#This Row],[Customer ID]],Customers[Customer ID],Customers[Region]),"Not found")</f>
        <v>Northeast</v>
      </c>
      <c r="L78" s="29">
        <f>DATE(YEAR(Sales[[#This Row],[Date]]),MONTH(Sales[[#This Row],[Date]]),1)</f>
        <v>45566</v>
      </c>
      <c r="M78" s="24"/>
    </row>
    <row r="79" spans="1:13" ht="16.8" x14ac:dyDescent="0.4">
      <c r="A79" s="30" t="s">
        <v>164</v>
      </c>
      <c r="B79" s="31">
        <v>45712</v>
      </c>
      <c r="C79" s="30" t="s">
        <v>56</v>
      </c>
      <c r="D79" s="30" t="s">
        <v>18</v>
      </c>
      <c r="E79" s="30">
        <v>11</v>
      </c>
      <c r="F79" s="32">
        <f>E79*VLOOKUP(D79,Products!$A$2:$C$7,2,FALSE())</f>
        <v>104500</v>
      </c>
      <c r="G79" s="32">
        <v>81918</v>
      </c>
      <c r="H79" s="30" t="str">
        <f>VLOOKUP(C79,'Customers'!$A$2:$H$41,2,FALSE())</f>
        <v>Nathan Allen</v>
      </c>
      <c r="I79" s="30" t="s">
        <v>15</v>
      </c>
      <c r="J79" s="33">
        <f>IFERROR((Sales[[#This Row],[Revenue]]-Sales[[#This Row],[Cost]])/Sales[[#This Row],[Revenue]],0)</f>
        <v>0.21609569377990431</v>
      </c>
      <c r="K79" s="33" t="str">
        <f>_xlfn.IFNA(_xlfn.XLOOKUP(Sales[[#This Row],[Customer ID]],Customers[Customer ID],Customers[Region]),"Not found")</f>
        <v>West</v>
      </c>
      <c r="L79" s="34">
        <f>DATE(YEAR(Sales[[#This Row],[Date]]),MONTH(Sales[[#This Row],[Date]]),1)</f>
        <v>45689</v>
      </c>
      <c r="M79" s="24"/>
    </row>
    <row r="80" spans="1:13" ht="16.8" x14ac:dyDescent="0.4">
      <c r="A80" s="25" t="s">
        <v>128</v>
      </c>
      <c r="B80" s="26">
        <v>45582</v>
      </c>
      <c r="C80" s="25" t="s">
        <v>29</v>
      </c>
      <c r="D80" s="25" t="s">
        <v>27</v>
      </c>
      <c r="E80" s="25">
        <v>47</v>
      </c>
      <c r="F80" s="27">
        <f>E80*VLOOKUP(D80,Products!$A$2:$C$7,2,FALSE())</f>
        <v>14100</v>
      </c>
      <c r="G80" s="27">
        <v>9982</v>
      </c>
      <c r="H80" s="25" t="str">
        <f>VLOOKUP(C80,'Customers'!$A$2:$H$41,2,FALSE())</f>
        <v>Jessica Garcia</v>
      </c>
      <c r="I80" s="25" t="s">
        <v>11</v>
      </c>
      <c r="J80" s="28">
        <f>IFERROR((Sales[[#This Row],[Revenue]]-Sales[[#This Row],[Cost]])/Sales[[#This Row],[Revenue]],0)</f>
        <v>0.29205673758865247</v>
      </c>
      <c r="K80" s="28" t="str">
        <f>_xlfn.IFNA(_xlfn.XLOOKUP(Sales[[#This Row],[Customer ID]],Customers[Customer ID],Customers[Region]),"Not found")</f>
        <v>South</v>
      </c>
      <c r="L80" s="29">
        <f>DATE(YEAR(Sales[[#This Row],[Date]]),MONTH(Sales[[#This Row],[Date]]),1)</f>
        <v>45566</v>
      </c>
      <c r="M80" s="24"/>
    </row>
    <row r="81" spans="1:13" ht="16.8" x14ac:dyDescent="0.4">
      <c r="A81" s="30" t="s">
        <v>129</v>
      </c>
      <c r="B81" s="31">
        <v>45589</v>
      </c>
      <c r="C81" s="30" t="s">
        <v>13</v>
      </c>
      <c r="D81" s="30" t="s">
        <v>10</v>
      </c>
      <c r="E81" s="30">
        <v>21</v>
      </c>
      <c r="F81" s="32">
        <f>E81*VLOOKUP(D81,Products!$A$2:$C$7,2,FALSE())</f>
        <v>17850</v>
      </c>
      <c r="G81" s="32">
        <v>12886</v>
      </c>
      <c r="H81" s="30" t="str">
        <f>VLOOKUP(C81,'Customers'!$A$2:$H$41,2,FALSE())</f>
        <v>Zachary Wright</v>
      </c>
      <c r="I81" s="30" t="s">
        <v>15</v>
      </c>
      <c r="J81" s="33">
        <f>IFERROR((Sales[[#This Row],[Revenue]]-Sales[[#This Row],[Cost]])/Sales[[#This Row],[Revenue]],0)</f>
        <v>0.27809523809523812</v>
      </c>
      <c r="K81" s="33" t="str">
        <f>_xlfn.IFNA(_xlfn.XLOOKUP(Sales[[#This Row],[Customer ID]],Customers[Customer ID],Customers[Region]),"Not found")</f>
        <v>Northeast</v>
      </c>
      <c r="L81" s="34">
        <f>DATE(YEAR(Sales[[#This Row],[Date]]),MONTH(Sales[[#This Row],[Date]]),1)</f>
        <v>45566</v>
      </c>
      <c r="M81" s="24"/>
    </row>
    <row r="82" spans="1:13" ht="16.8" x14ac:dyDescent="0.4">
      <c r="A82" s="25" t="s">
        <v>130</v>
      </c>
      <c r="B82" s="26">
        <v>45593</v>
      </c>
      <c r="C82" s="25" t="s">
        <v>131</v>
      </c>
      <c r="D82" s="25" t="s">
        <v>24</v>
      </c>
      <c r="E82" s="25">
        <v>51</v>
      </c>
      <c r="F82" s="27">
        <f>E82*VLOOKUP(D82,Products!$A$2:$C$7,2,FALSE())</f>
        <v>22950</v>
      </c>
      <c r="G82" s="27">
        <v>16059</v>
      </c>
      <c r="H82" s="25" t="str">
        <f>VLOOKUP(C82,'Customers'!$A$2:$H$41,2,FALSE())</f>
        <v>Lauren Taylor</v>
      </c>
      <c r="I82" s="25" t="s">
        <v>15</v>
      </c>
      <c r="J82" s="28">
        <f>IFERROR((Sales[[#This Row],[Revenue]]-Sales[[#This Row],[Cost]])/Sales[[#This Row],[Revenue]],0)</f>
        <v>0.30026143790849674</v>
      </c>
      <c r="K82" s="28" t="str">
        <f>_xlfn.IFNA(_xlfn.XLOOKUP(Sales[[#This Row],[Customer ID]],Customers[Customer ID],Customers[Region]),"Not found")</f>
        <v>Midwest</v>
      </c>
      <c r="L82" s="29">
        <f>DATE(YEAR(Sales[[#This Row],[Date]]),MONTH(Sales[[#This Row],[Date]]),1)</f>
        <v>45566</v>
      </c>
      <c r="M82" s="24"/>
    </row>
    <row r="83" spans="1:13" ht="16.8" x14ac:dyDescent="0.4">
      <c r="A83" s="30" t="s">
        <v>157</v>
      </c>
      <c r="B83" s="31">
        <v>45694</v>
      </c>
      <c r="C83" s="30" t="s">
        <v>138</v>
      </c>
      <c r="D83" s="30" t="s">
        <v>52</v>
      </c>
      <c r="E83" s="30">
        <v>37</v>
      </c>
      <c r="F83" s="32">
        <f>E83*VLOOKUP(D83,Products!$A$2:$C$7,2,FALSE())</f>
        <v>66600</v>
      </c>
      <c r="G83" s="32">
        <v>51307</v>
      </c>
      <c r="H83" s="30" t="str">
        <f>VLOOKUP(C83,'Customers'!$A$2:$H$41,2,FALSE())</f>
        <v>Megan Anderson</v>
      </c>
      <c r="I83" s="30" t="s">
        <v>15</v>
      </c>
      <c r="J83" s="33">
        <f>IFERROR((Sales[[#This Row],[Revenue]]-Sales[[#This Row],[Cost]])/Sales[[#This Row],[Revenue]],0)</f>
        <v>0.22962462462462463</v>
      </c>
      <c r="K83" s="33" t="str">
        <f>_xlfn.IFNA(_xlfn.XLOOKUP(Sales[[#This Row],[Customer ID]],Customers[Customer ID],Customers[Region]),"Not found")</f>
        <v>Midwest</v>
      </c>
      <c r="L83" s="34">
        <f>DATE(YEAR(Sales[[#This Row],[Date]]),MONTH(Sales[[#This Row],[Date]]),1)</f>
        <v>45689</v>
      </c>
      <c r="M83" s="24"/>
    </row>
    <row r="84" spans="1:13" ht="16.8" x14ac:dyDescent="0.4">
      <c r="A84" s="25" t="s">
        <v>134</v>
      </c>
      <c r="B84" s="26">
        <v>45607</v>
      </c>
      <c r="C84" s="25" t="s">
        <v>58</v>
      </c>
      <c r="D84" s="25" t="s">
        <v>24</v>
      </c>
      <c r="E84" s="25">
        <v>44</v>
      </c>
      <c r="F84" s="27">
        <f>E84*VLOOKUP(D84,Products!$A$2:$C$7,2,FALSE())</f>
        <v>19800</v>
      </c>
      <c r="G84" s="27">
        <v>14323</v>
      </c>
      <c r="H84" s="25" t="str">
        <f>VLOOKUP(C84,'Customers'!$A$2:$H$41,2,FALSE())</f>
        <v>Stephanie Lee</v>
      </c>
      <c r="I84" s="25" t="s">
        <v>15</v>
      </c>
      <c r="J84" s="28">
        <f>IFERROR((Sales[[#This Row],[Revenue]]-Sales[[#This Row],[Cost]])/Sales[[#This Row],[Revenue]],0)</f>
        <v>0.27661616161616159</v>
      </c>
      <c r="K84" s="28" t="str">
        <f>_xlfn.IFNA(_xlfn.XLOOKUP(Sales[[#This Row],[Customer ID]],Customers[Customer ID],Customers[Region]),"Not found")</f>
        <v>Northeast</v>
      </c>
      <c r="L84" s="29">
        <f>DATE(YEAR(Sales[[#This Row],[Date]]),MONTH(Sales[[#This Row],[Date]]),1)</f>
        <v>45597</v>
      </c>
      <c r="M84" s="24"/>
    </row>
    <row r="85" spans="1:13" ht="16.8" x14ac:dyDescent="0.4">
      <c r="A85" s="30" t="s">
        <v>135</v>
      </c>
      <c r="B85" s="31">
        <v>45612</v>
      </c>
      <c r="C85" s="30" t="s">
        <v>107</v>
      </c>
      <c r="D85" s="30" t="s">
        <v>10</v>
      </c>
      <c r="E85" s="30">
        <v>54</v>
      </c>
      <c r="F85" s="32">
        <f>E85*VLOOKUP(D85,Products!$A$2:$C$7,2,FALSE())</f>
        <v>45900</v>
      </c>
      <c r="G85" s="32">
        <v>34957</v>
      </c>
      <c r="H85" s="30" t="str">
        <f>VLOOKUP(C85,'Customers'!$A$2:$H$41,2,FALSE())</f>
        <v>Brandon Martin</v>
      </c>
      <c r="I85" s="30" t="s">
        <v>11</v>
      </c>
      <c r="J85" s="33">
        <f>IFERROR((Sales[[#This Row],[Revenue]]-Sales[[#This Row],[Cost]])/Sales[[#This Row],[Revenue]],0)</f>
        <v>0.23840958605664489</v>
      </c>
      <c r="K85" s="33" t="str">
        <f>_xlfn.IFNA(_xlfn.XLOOKUP(Sales[[#This Row],[Customer ID]],Customers[Customer ID],Customers[Region]),"Not found")</f>
        <v>Northeast</v>
      </c>
      <c r="L85" s="34">
        <f>DATE(YEAR(Sales[[#This Row],[Date]]),MONTH(Sales[[#This Row],[Date]]),1)</f>
        <v>45597</v>
      </c>
      <c r="M85" s="24"/>
    </row>
    <row r="86" spans="1:13" ht="16.8" x14ac:dyDescent="0.4">
      <c r="A86" s="25" t="s">
        <v>136</v>
      </c>
      <c r="B86" s="26">
        <v>45617</v>
      </c>
      <c r="C86" s="25" t="s">
        <v>20</v>
      </c>
      <c r="D86" s="25" t="s">
        <v>10</v>
      </c>
      <c r="E86" s="25">
        <v>9</v>
      </c>
      <c r="F86" s="27">
        <f>E86*VLOOKUP(D86,Products!$A$2:$C$7,2,FALSE())</f>
        <v>7650</v>
      </c>
      <c r="G86" s="27">
        <v>5654</v>
      </c>
      <c r="H86" s="25" t="str">
        <f>VLOOKUP(C86,'Customers'!$A$2:$H$41,2,FALSE())</f>
        <v>Andrew Wilson</v>
      </c>
      <c r="I86" s="25" t="s">
        <v>11</v>
      </c>
      <c r="J86" s="28">
        <f>IFERROR((Sales[[#This Row],[Revenue]]-Sales[[#This Row],[Cost]])/Sales[[#This Row],[Revenue]],0)</f>
        <v>0.26091503267973853</v>
      </c>
      <c r="K86" s="28" t="str">
        <f>_xlfn.IFNA(_xlfn.XLOOKUP(Sales[[#This Row],[Customer ID]],Customers[Customer ID],Customers[Region]),"Not found")</f>
        <v>Northeast</v>
      </c>
      <c r="L86" s="29">
        <f>DATE(YEAR(Sales[[#This Row],[Date]]),MONTH(Sales[[#This Row],[Date]]),1)</f>
        <v>45597</v>
      </c>
      <c r="M86" s="24"/>
    </row>
    <row r="87" spans="1:13" ht="16.8" x14ac:dyDescent="0.4">
      <c r="A87" s="30" t="s">
        <v>151</v>
      </c>
      <c r="B87" s="31">
        <v>45670</v>
      </c>
      <c r="C87" s="30" t="s">
        <v>20</v>
      </c>
      <c r="D87" s="30" t="s">
        <v>52</v>
      </c>
      <c r="E87" s="30">
        <v>50</v>
      </c>
      <c r="F87" s="32">
        <f>E87*VLOOKUP(D87,Products!$A$2:$C$7,2,FALSE())</f>
        <v>90000</v>
      </c>
      <c r="G87" s="32">
        <v>69901</v>
      </c>
      <c r="H87" s="30" t="str">
        <f>VLOOKUP(C87,'Customers'!$A$2:$H$41,2,FALSE())</f>
        <v>Andrew Wilson</v>
      </c>
      <c r="I87" s="30" t="s">
        <v>11</v>
      </c>
      <c r="J87" s="33">
        <f>IFERROR((Sales[[#This Row],[Revenue]]-Sales[[#This Row],[Cost]])/Sales[[#This Row],[Revenue]],0)</f>
        <v>0.22332222222222223</v>
      </c>
      <c r="K87" s="33" t="str">
        <f>_xlfn.IFNA(_xlfn.XLOOKUP(Sales[[#This Row],[Customer ID]],Customers[Customer ID],Customers[Region]),"Not found")</f>
        <v>Northeast</v>
      </c>
      <c r="L87" s="34">
        <f>DATE(YEAR(Sales[[#This Row],[Date]]),MONTH(Sales[[#This Row],[Date]]),1)</f>
        <v>45658</v>
      </c>
      <c r="M87" s="24"/>
    </row>
    <row r="88" spans="1:13" ht="16.8" x14ac:dyDescent="0.4">
      <c r="A88" s="25" t="s">
        <v>139</v>
      </c>
      <c r="B88" s="26">
        <v>45619</v>
      </c>
      <c r="C88" s="25" t="s">
        <v>107</v>
      </c>
      <c r="D88" s="25" t="s">
        <v>27</v>
      </c>
      <c r="E88" s="25">
        <v>34</v>
      </c>
      <c r="F88" s="27">
        <f>E88*VLOOKUP(D88,Products!$A$2:$C$7,2,FALSE())</f>
        <v>10200</v>
      </c>
      <c r="G88" s="27">
        <v>6915</v>
      </c>
      <c r="H88" s="25" t="str">
        <f>VLOOKUP(C88,'Customers'!$A$2:$H$41,2,FALSE())</f>
        <v>Brandon Martin</v>
      </c>
      <c r="I88" s="25" t="s">
        <v>15</v>
      </c>
      <c r="J88" s="28">
        <f>IFERROR((Sales[[#This Row],[Revenue]]-Sales[[#This Row],[Cost]])/Sales[[#This Row],[Revenue]],0)</f>
        <v>0.32205882352941179</v>
      </c>
      <c r="K88" s="28" t="str">
        <f>_xlfn.IFNA(_xlfn.XLOOKUP(Sales[[#This Row],[Customer ID]],Customers[Customer ID],Customers[Region]),"Not found")</f>
        <v>Northeast</v>
      </c>
      <c r="L88" s="29">
        <f>DATE(YEAR(Sales[[#This Row],[Date]]),MONTH(Sales[[#This Row],[Date]]),1)</f>
        <v>45597</v>
      </c>
      <c r="M88" s="24"/>
    </row>
    <row r="89" spans="1:13" ht="16.8" x14ac:dyDescent="0.4">
      <c r="A89" s="30" t="s">
        <v>140</v>
      </c>
      <c r="B89" s="31">
        <v>45621</v>
      </c>
      <c r="C89" s="30" t="s">
        <v>34</v>
      </c>
      <c r="D89" s="30" t="s">
        <v>52</v>
      </c>
      <c r="E89" s="30">
        <v>17</v>
      </c>
      <c r="F89" s="32">
        <f>E89*VLOOKUP(D89,Products!$A$2:$C$7,2,FALSE())</f>
        <v>30600</v>
      </c>
      <c r="G89" s="32">
        <v>22103</v>
      </c>
      <c r="H89" s="30" t="str">
        <f>VLOOKUP(C89,'Customers'!$A$2:$H$41,2,FALSE())</f>
        <v>Victoria Nelson</v>
      </c>
      <c r="I89" s="30" t="s">
        <v>15</v>
      </c>
      <c r="J89" s="33">
        <f>IFERROR((Sales[[#This Row],[Revenue]]-Sales[[#This Row],[Cost]])/Sales[[#This Row],[Revenue]],0)</f>
        <v>0.27767973856209149</v>
      </c>
      <c r="K89" s="33" t="str">
        <f>_xlfn.IFNA(_xlfn.XLOOKUP(Sales[[#This Row],[Customer ID]],Customers[Customer ID],Customers[Region]),"Not found")</f>
        <v>Northeast</v>
      </c>
      <c r="L89" s="34">
        <f>DATE(YEAR(Sales[[#This Row],[Date]]),MONTH(Sales[[#This Row],[Date]]),1)</f>
        <v>45597</v>
      </c>
      <c r="M89" s="24"/>
    </row>
    <row r="90" spans="1:13" ht="16.8" x14ac:dyDescent="0.4">
      <c r="A90" s="25" t="s">
        <v>150</v>
      </c>
      <c r="B90" s="26">
        <v>45668</v>
      </c>
      <c r="C90" s="25" t="s">
        <v>51</v>
      </c>
      <c r="D90" s="25" t="s">
        <v>52</v>
      </c>
      <c r="E90" s="25">
        <v>53</v>
      </c>
      <c r="F90" s="27">
        <f>E90*VLOOKUP(D90,Products!$A$2:$C$7,2,FALSE())</f>
        <v>95400</v>
      </c>
      <c r="G90" s="27">
        <v>70039</v>
      </c>
      <c r="H90" s="25" t="str">
        <f>VLOOKUP(C90,'Customers'!$A$2:$H$41,2,FALSE())</f>
        <v>Tyler Thompson</v>
      </c>
      <c r="I90" s="25" t="s">
        <v>11</v>
      </c>
      <c r="J90" s="28">
        <f>IFERROR((Sales[[#This Row],[Revenue]]-Sales[[#This Row],[Cost]])/Sales[[#This Row],[Revenue]],0)</f>
        <v>0.26583857442348008</v>
      </c>
      <c r="K90" s="28" t="str">
        <f>_xlfn.IFNA(_xlfn.XLOOKUP(Sales[[#This Row],[Customer ID]],Customers[Customer ID],Customers[Region]),"Not found")</f>
        <v>South</v>
      </c>
      <c r="L90" s="29">
        <f>DATE(YEAR(Sales[[#This Row],[Date]]),MONTH(Sales[[#This Row],[Date]]),1)</f>
        <v>45658</v>
      </c>
      <c r="M90" s="24"/>
    </row>
    <row r="91" spans="1:13" ht="16.8" x14ac:dyDescent="0.4">
      <c r="A91" s="30" t="s">
        <v>142</v>
      </c>
      <c r="B91" s="31">
        <v>45633</v>
      </c>
      <c r="C91" s="30" t="s">
        <v>119</v>
      </c>
      <c r="D91" s="30" t="s">
        <v>52</v>
      </c>
      <c r="E91" s="30">
        <v>10</v>
      </c>
      <c r="F91" s="32">
        <f>E91*VLOOKUP(D91,Products!$A$2:$C$7,2,FALSE())</f>
        <v>18000</v>
      </c>
      <c r="G91" s="32">
        <v>13873</v>
      </c>
      <c r="H91" s="30" t="str">
        <f>VLOOKUP(C91,'Customers'!$A$2:$H$41,2,FALSE())</f>
        <v>Rebecca Campbell</v>
      </c>
      <c r="I91" s="30" t="s">
        <v>11</v>
      </c>
      <c r="J91" s="33">
        <f>IFERROR((Sales[[#This Row],[Revenue]]-Sales[[#This Row],[Cost]])/Sales[[#This Row],[Revenue]],0)</f>
        <v>0.22927777777777777</v>
      </c>
      <c r="K91" s="33" t="str">
        <f>_xlfn.IFNA(_xlfn.XLOOKUP(Sales[[#This Row],[Customer ID]],Customers[Customer ID],Customers[Region]),"Not found")</f>
        <v>West</v>
      </c>
      <c r="L91" s="34">
        <f>DATE(YEAR(Sales[[#This Row],[Date]]),MONTH(Sales[[#This Row],[Date]]),1)</f>
        <v>45627</v>
      </c>
      <c r="M91" s="24"/>
    </row>
    <row r="92" spans="1:13" ht="16.8" x14ac:dyDescent="0.4">
      <c r="A92" s="25" t="s">
        <v>145</v>
      </c>
      <c r="B92" s="26">
        <v>45643</v>
      </c>
      <c r="C92" s="25" t="s">
        <v>88</v>
      </c>
      <c r="D92" s="25" t="s">
        <v>18</v>
      </c>
      <c r="E92" s="25">
        <v>8</v>
      </c>
      <c r="F92" s="27">
        <f>E92*VLOOKUP(D92,Products!$A$2:$C$7,2,FALSE())</f>
        <v>76000</v>
      </c>
      <c r="G92" s="27">
        <v>57707</v>
      </c>
      <c r="H92" s="25" t="str">
        <f>VLOOKUP(C92,'Customers'!$A$2:$H$41,2,FALSE())</f>
        <v>Rachel Jackson</v>
      </c>
      <c r="I92" s="25" t="s">
        <v>15</v>
      </c>
      <c r="J92" s="28">
        <f>IFERROR((Sales[[#This Row],[Revenue]]-Sales[[#This Row],[Cost]])/Sales[[#This Row],[Revenue]],0)</f>
        <v>0.24069736842105263</v>
      </c>
      <c r="K92" s="28" t="str">
        <f>_xlfn.IFNA(_xlfn.XLOOKUP(Sales[[#This Row],[Customer ID]],Customers[Customer ID],Customers[Region]),"Not found")</f>
        <v>West</v>
      </c>
      <c r="L92" s="29">
        <f>DATE(YEAR(Sales[[#This Row],[Date]]),MONTH(Sales[[#This Row],[Date]]),1)</f>
        <v>45627</v>
      </c>
      <c r="M92" s="24"/>
    </row>
    <row r="93" spans="1:13" ht="16.8" x14ac:dyDescent="0.4">
      <c r="A93" s="30" t="s">
        <v>144</v>
      </c>
      <c r="B93" s="31">
        <v>45642</v>
      </c>
      <c r="C93" s="30" t="s">
        <v>107</v>
      </c>
      <c r="D93" s="30" t="s">
        <v>52</v>
      </c>
      <c r="E93" s="30">
        <v>34</v>
      </c>
      <c r="F93" s="32">
        <f>E93*VLOOKUP(D93,Products!$A$2:$C$7,2,FALSE())</f>
        <v>61200</v>
      </c>
      <c r="G93" s="32">
        <v>45665</v>
      </c>
      <c r="H93" s="30" t="str">
        <f>VLOOKUP(C93,'Customers'!$A$2:$H$41,2,FALSE())</f>
        <v>Brandon Martin</v>
      </c>
      <c r="I93" s="30" t="s">
        <v>11</v>
      </c>
      <c r="J93" s="33">
        <f>IFERROR((Sales[[#This Row],[Revenue]]-Sales[[#This Row],[Cost]])/Sales[[#This Row],[Revenue]],0)</f>
        <v>0.25383986928104574</v>
      </c>
      <c r="K93" s="33" t="str">
        <f>_xlfn.IFNA(_xlfn.XLOOKUP(Sales[[#This Row],[Customer ID]],Customers[Customer ID],Customers[Region]),"Not found")</f>
        <v>Northeast</v>
      </c>
      <c r="L93" s="34">
        <f>DATE(YEAR(Sales[[#This Row],[Date]]),MONTH(Sales[[#This Row],[Date]]),1)</f>
        <v>45627</v>
      </c>
      <c r="M93" s="24"/>
    </row>
    <row r="94" spans="1:13" ht="16.8" x14ac:dyDescent="0.4">
      <c r="A94" s="25" t="s">
        <v>143</v>
      </c>
      <c r="B94" s="26">
        <v>45634</v>
      </c>
      <c r="C94" s="25" t="s">
        <v>85</v>
      </c>
      <c r="D94" s="25" t="s">
        <v>18</v>
      </c>
      <c r="E94" s="25">
        <v>8</v>
      </c>
      <c r="F94" s="27">
        <f>E94*VLOOKUP(D94,Products!$A$2:$C$7,2,FALSE())</f>
        <v>76000</v>
      </c>
      <c r="G94" s="27">
        <v>56522</v>
      </c>
      <c r="H94" s="25" t="str">
        <f>VLOOKUP(C94,'Customers'!$A$2:$H$41,2,FALSE())</f>
        <v>Brittany Scott</v>
      </c>
      <c r="I94" s="25" t="s">
        <v>15</v>
      </c>
      <c r="J94" s="28">
        <f>IFERROR((Sales[[#This Row],[Revenue]]-Sales[[#This Row],[Cost]])/Sales[[#This Row],[Revenue]],0)</f>
        <v>0.25628947368421051</v>
      </c>
      <c r="K94" s="28" t="str">
        <f>_xlfn.IFNA(_xlfn.XLOOKUP(Sales[[#This Row],[Customer ID]],Customers[Customer ID],Customers[Region]),"Not found")</f>
        <v>West</v>
      </c>
      <c r="L94" s="29">
        <f>DATE(YEAR(Sales[[#This Row],[Date]]),MONTH(Sales[[#This Row],[Date]]),1)</f>
        <v>45627</v>
      </c>
      <c r="M94" s="24"/>
    </row>
    <row r="95" spans="1:13" ht="16.8" x14ac:dyDescent="0.4">
      <c r="A95" s="30" t="s">
        <v>146</v>
      </c>
      <c r="B95" s="31">
        <v>45643</v>
      </c>
      <c r="C95" s="30" t="s">
        <v>71</v>
      </c>
      <c r="D95" s="30" t="s">
        <v>24</v>
      </c>
      <c r="E95" s="30">
        <v>13</v>
      </c>
      <c r="F95" s="32">
        <f>E95*VLOOKUP(D95,Products!$A$2:$C$7,2,FALSE())</f>
        <v>5850</v>
      </c>
      <c r="G95" s="32">
        <v>4207</v>
      </c>
      <c r="H95" s="30" t="str">
        <f>VLOOKUP(C95,'Customers'!$A$2:$H$41,2,FALSE())</f>
        <v>Elizabeth Clark</v>
      </c>
      <c r="I95" s="30" t="s">
        <v>47</v>
      </c>
      <c r="J95" s="33">
        <f>IFERROR((Sales[[#This Row],[Revenue]]-Sales[[#This Row],[Cost]])/Sales[[#This Row],[Revenue]],0)</f>
        <v>0.28085470085470088</v>
      </c>
      <c r="K95" s="33" t="str">
        <f>_xlfn.IFNA(_xlfn.XLOOKUP(Sales[[#This Row],[Customer ID]],Customers[Customer ID],Customers[Region]),"Not found")</f>
        <v>South</v>
      </c>
      <c r="L95" s="34">
        <f>DATE(YEAR(Sales[[#This Row],[Date]]),MONTH(Sales[[#This Row],[Date]]),1)</f>
        <v>45627</v>
      </c>
      <c r="M95" s="24"/>
    </row>
    <row r="96" spans="1:13" ht="16.8" x14ac:dyDescent="0.4">
      <c r="A96" s="25" t="s">
        <v>147</v>
      </c>
      <c r="B96" s="26">
        <v>45647</v>
      </c>
      <c r="C96" s="25" t="s">
        <v>88</v>
      </c>
      <c r="D96" s="25" t="s">
        <v>27</v>
      </c>
      <c r="E96" s="25">
        <v>12</v>
      </c>
      <c r="F96" s="27">
        <f>E96*VLOOKUP(D96,Products!$A$2:$C$7,2,FALSE())</f>
        <v>3600</v>
      </c>
      <c r="G96" s="27">
        <v>2463</v>
      </c>
      <c r="H96" s="25" t="str">
        <f>VLOOKUP(C96,'Customers'!$A$2:$H$41,2,FALSE())</f>
        <v>Rachel Jackson</v>
      </c>
      <c r="I96" s="25" t="s">
        <v>11</v>
      </c>
      <c r="J96" s="28">
        <f>IFERROR((Sales[[#This Row],[Revenue]]-Sales[[#This Row],[Cost]])/Sales[[#This Row],[Revenue]],0)</f>
        <v>0.31583333333333335</v>
      </c>
      <c r="K96" s="28" t="str">
        <f>_xlfn.IFNA(_xlfn.XLOOKUP(Sales[[#This Row],[Customer ID]],Customers[Customer ID],Customers[Region]),"Not found")</f>
        <v>West</v>
      </c>
      <c r="L96" s="29">
        <f>DATE(YEAR(Sales[[#This Row],[Date]]),MONTH(Sales[[#This Row],[Date]]),1)</f>
        <v>45627</v>
      </c>
      <c r="M96" s="24"/>
    </row>
    <row r="97" spans="1:13" ht="16.8" x14ac:dyDescent="0.4">
      <c r="A97" s="30" t="s">
        <v>148</v>
      </c>
      <c r="B97" s="31">
        <v>45665</v>
      </c>
      <c r="C97" s="30" t="s">
        <v>149</v>
      </c>
      <c r="D97" s="30" t="s">
        <v>24</v>
      </c>
      <c r="E97" s="30">
        <v>37</v>
      </c>
      <c r="F97" s="32">
        <f>E97*VLOOKUP(D97,Products!$A$2:$C$7,2,FALSE())</f>
        <v>16650</v>
      </c>
      <c r="G97" s="32">
        <v>11381</v>
      </c>
      <c r="H97" s="30" t="str">
        <f>VLOOKUP(C97,'Customers'!$A$2:$H$41,2,FALSE())</f>
        <v>Hannah Young</v>
      </c>
      <c r="I97" s="30" t="s">
        <v>15</v>
      </c>
      <c r="J97" s="33">
        <f>IFERROR((Sales[[#This Row],[Revenue]]-Sales[[#This Row],[Cost]])/Sales[[#This Row],[Revenue]],0)</f>
        <v>0.31645645645645648</v>
      </c>
      <c r="K97" s="33" t="str">
        <f>_xlfn.IFNA(_xlfn.XLOOKUP(Sales[[#This Row],[Customer ID]],Customers[Customer ID],Customers[Region]),"Not found")</f>
        <v>Northeast</v>
      </c>
      <c r="L97" s="34">
        <f>DATE(YEAR(Sales[[#This Row],[Date]]),MONTH(Sales[[#This Row],[Date]]),1)</f>
        <v>45658</v>
      </c>
      <c r="M97" s="24"/>
    </row>
    <row r="98" spans="1:13" ht="16.8" x14ac:dyDescent="0.4">
      <c r="A98" s="25" t="s">
        <v>141</v>
      </c>
      <c r="B98" s="26">
        <v>45627</v>
      </c>
      <c r="C98" s="25" t="s">
        <v>56</v>
      </c>
      <c r="D98" s="25" t="s">
        <v>18</v>
      </c>
      <c r="E98" s="25">
        <v>8</v>
      </c>
      <c r="F98" s="27">
        <f>E98*VLOOKUP(D98,Products!$A$2:$C$7,2,FALSE())</f>
        <v>76000</v>
      </c>
      <c r="G98" s="27">
        <v>58750</v>
      </c>
      <c r="H98" s="25" t="str">
        <f>VLOOKUP(C98,'Customers'!$A$2:$H$41,2,FALSE())</f>
        <v>Nathan Allen</v>
      </c>
      <c r="I98" s="25" t="s">
        <v>15</v>
      </c>
      <c r="J98" s="28">
        <f>IFERROR((Sales[[#This Row],[Revenue]]-Sales[[#This Row],[Cost]])/Sales[[#This Row],[Revenue]],0)</f>
        <v>0.22697368421052633</v>
      </c>
      <c r="K98" s="28" t="str">
        <f>_xlfn.IFNA(_xlfn.XLOOKUP(Sales[[#This Row],[Customer ID]],Customers[Customer ID],Customers[Region]),"Not found")</f>
        <v>West</v>
      </c>
      <c r="L98" s="29">
        <f>DATE(YEAR(Sales[[#This Row],[Date]]),MONTH(Sales[[#This Row],[Date]]),1)</f>
        <v>45627</v>
      </c>
      <c r="M98" s="24"/>
    </row>
    <row r="99" spans="1:13" ht="16.8" x14ac:dyDescent="0.4">
      <c r="A99" s="30" t="s">
        <v>137</v>
      </c>
      <c r="B99" s="31">
        <v>45618</v>
      </c>
      <c r="C99" s="30" t="s">
        <v>138</v>
      </c>
      <c r="D99" s="30" t="s">
        <v>52</v>
      </c>
      <c r="E99" s="30">
        <v>48</v>
      </c>
      <c r="F99" s="32">
        <f>E99*VLOOKUP(D99,Products!$A$2:$C$7,2,FALSE())</f>
        <v>86400</v>
      </c>
      <c r="G99" s="32">
        <v>64554</v>
      </c>
      <c r="H99" s="30" t="str">
        <f>VLOOKUP(C99,'Customers'!$A$2:$H$41,2,FALSE())</f>
        <v>Megan Anderson</v>
      </c>
      <c r="I99" s="30" t="s">
        <v>15</v>
      </c>
      <c r="J99" s="33">
        <f>IFERROR((Sales[[#This Row],[Revenue]]-Sales[[#This Row],[Cost]])/Sales[[#This Row],[Revenue]],0)</f>
        <v>0.25284722222222222</v>
      </c>
      <c r="K99" s="33" t="str">
        <f>_xlfn.IFNA(_xlfn.XLOOKUP(Sales[[#This Row],[Customer ID]],Customers[Customer ID],Customers[Region]),"Not found")</f>
        <v>Midwest</v>
      </c>
      <c r="L99" s="34">
        <f>DATE(YEAR(Sales[[#This Row],[Date]]),MONTH(Sales[[#This Row],[Date]]),1)</f>
        <v>45597</v>
      </c>
      <c r="M99" s="24"/>
    </row>
    <row r="100" spans="1:13" ht="16.8" x14ac:dyDescent="0.4">
      <c r="A100" s="25" t="s">
        <v>152</v>
      </c>
      <c r="B100" s="26">
        <v>45670</v>
      </c>
      <c r="C100" s="25" t="s">
        <v>66</v>
      </c>
      <c r="D100" s="25" t="s">
        <v>27</v>
      </c>
      <c r="E100" s="25">
        <v>28</v>
      </c>
      <c r="F100" s="27">
        <f>E100*VLOOKUP(D100,Products!$A$2:$C$7,2,FALSE())</f>
        <v>8400</v>
      </c>
      <c r="G100" s="27">
        <v>5799</v>
      </c>
      <c r="H100" s="25" t="str">
        <f>VLOOKUP(C100,'Customers'!$A$2:$H$41,2,FALSE())</f>
        <v>David Jones</v>
      </c>
      <c r="I100" s="25" t="s">
        <v>11</v>
      </c>
      <c r="J100" s="28">
        <f>IFERROR((Sales[[#This Row],[Revenue]]-Sales[[#This Row],[Cost]])/Sales[[#This Row],[Revenue]],0)</f>
        <v>0.30964285714285716</v>
      </c>
      <c r="K100" s="28" t="str">
        <f>_xlfn.IFNA(_xlfn.XLOOKUP(Sales[[#This Row],[Customer ID]],Customers[Customer ID],Customers[Region]),"Not found")</f>
        <v>Northeast</v>
      </c>
      <c r="L100" s="29">
        <f>DATE(YEAR(Sales[[#This Row],[Date]]),MONTH(Sales[[#This Row],[Date]]),1)</f>
        <v>45658</v>
      </c>
      <c r="M100" s="24"/>
    </row>
    <row r="101" spans="1:13" ht="16.8" x14ac:dyDescent="0.4">
      <c r="A101" s="30" t="s">
        <v>153</v>
      </c>
      <c r="B101" s="31">
        <v>45671</v>
      </c>
      <c r="C101" s="30" t="s">
        <v>122</v>
      </c>
      <c r="D101" s="30" t="s">
        <v>24</v>
      </c>
      <c r="E101" s="30">
        <v>25</v>
      </c>
      <c r="F101" s="32">
        <f>E101*VLOOKUP(D101,Products!$A$2:$C$7,2,FALSE())</f>
        <v>11250</v>
      </c>
      <c r="G101" s="32">
        <v>7890</v>
      </c>
      <c r="H101" s="30" t="str">
        <f>VLOOKUP(C101,'Customers'!$A$2:$H$41,2,FALSE())</f>
        <v>Jacob Lewis</v>
      </c>
      <c r="I101" s="30" t="s">
        <v>15</v>
      </c>
      <c r="J101" s="33">
        <f>IFERROR((Sales[[#This Row],[Revenue]]-Sales[[#This Row],[Cost]])/Sales[[#This Row],[Revenue]],0)</f>
        <v>0.29866666666666669</v>
      </c>
      <c r="K101" s="33" t="str">
        <f>_xlfn.IFNA(_xlfn.XLOOKUP(Sales[[#This Row],[Customer ID]],Customers[Customer ID],Customers[Region]),"Not found")</f>
        <v>West</v>
      </c>
      <c r="L101" s="34">
        <f>DATE(YEAR(Sales[[#This Row],[Date]]),MONTH(Sales[[#This Row],[Date]]),1)</f>
        <v>45658</v>
      </c>
      <c r="M101" s="24"/>
    </row>
    <row r="102" spans="1:13" ht="16.8" x14ac:dyDescent="0.4">
      <c r="A102" s="25" t="s">
        <v>154</v>
      </c>
      <c r="B102" s="26">
        <v>45681</v>
      </c>
      <c r="C102" s="25" t="s">
        <v>82</v>
      </c>
      <c r="D102" s="25" t="s">
        <v>24</v>
      </c>
      <c r="E102" s="25">
        <v>28</v>
      </c>
      <c r="F102" s="27">
        <f>E102*VLOOKUP(D102,Products!$A$2:$C$7,2,FALSE())</f>
        <v>12600</v>
      </c>
      <c r="G102" s="27">
        <v>9252</v>
      </c>
      <c r="H102" s="25" t="str">
        <f>VLOOKUP(C102,'Customers'!$A$2:$H$41,2,FALSE())</f>
        <v>Ryan Moore</v>
      </c>
      <c r="I102" s="25" t="s">
        <v>15</v>
      </c>
      <c r="J102" s="28">
        <f>IFERROR((Sales[[#This Row],[Revenue]]-Sales[[#This Row],[Cost]])/Sales[[#This Row],[Revenue]],0)</f>
        <v>0.26571428571428574</v>
      </c>
      <c r="K102" s="28" t="str">
        <f>_xlfn.IFNA(_xlfn.XLOOKUP(Sales[[#This Row],[Customer ID]],Customers[Customer ID],Customers[Region]),"Not found")</f>
        <v>South</v>
      </c>
      <c r="L102" s="29">
        <f>DATE(YEAR(Sales[[#This Row],[Date]]),MONTH(Sales[[#This Row],[Date]]),1)</f>
        <v>45658</v>
      </c>
      <c r="M102" s="24"/>
    </row>
    <row r="103" spans="1:13" ht="16.8" x14ac:dyDescent="0.4">
      <c r="A103" s="30" t="s">
        <v>155</v>
      </c>
      <c r="B103" s="31">
        <v>45682</v>
      </c>
      <c r="C103" s="30" t="s">
        <v>133</v>
      </c>
      <c r="D103" s="30" t="s">
        <v>24</v>
      </c>
      <c r="E103" s="30">
        <v>22</v>
      </c>
      <c r="F103" s="32">
        <f>E103*VLOOKUP(D103,Products!$A$2:$C$7,2,FALSE())</f>
        <v>9900</v>
      </c>
      <c r="G103" s="32">
        <v>7149</v>
      </c>
      <c r="H103" s="30" t="str">
        <f>VLOOKUP(C103,'Customers'!$A$2:$H$41,2,FALSE())</f>
        <v>Sarah Brown</v>
      </c>
      <c r="I103" s="30" t="s">
        <v>15</v>
      </c>
      <c r="J103" s="33">
        <f>IFERROR((Sales[[#This Row],[Revenue]]-Sales[[#This Row],[Cost]])/Sales[[#This Row],[Revenue]],0)</f>
        <v>0.27787878787878789</v>
      </c>
      <c r="K103" s="33" t="str">
        <f>_xlfn.IFNA(_xlfn.XLOOKUP(Sales[[#This Row],[Customer ID]],Customers[Customer ID],Customers[Region]),"Not found")</f>
        <v>West</v>
      </c>
      <c r="L103" s="34">
        <f>DATE(YEAR(Sales[[#This Row],[Date]]),MONTH(Sales[[#This Row],[Date]]),1)</f>
        <v>45658</v>
      </c>
      <c r="M103" s="24"/>
    </row>
    <row r="104" spans="1:13" ht="16.8" x14ac:dyDescent="0.4">
      <c r="A104" s="25" t="s">
        <v>156</v>
      </c>
      <c r="B104" s="26">
        <v>45684</v>
      </c>
      <c r="C104" s="25" t="s">
        <v>107</v>
      </c>
      <c r="D104" s="25" t="s">
        <v>10</v>
      </c>
      <c r="E104" s="25">
        <v>45</v>
      </c>
      <c r="F104" s="27">
        <f>E104*VLOOKUP(D104,Products!$A$2:$C$7,2,FALSE())</f>
        <v>38250</v>
      </c>
      <c r="G104" s="27">
        <v>29436</v>
      </c>
      <c r="H104" s="25" t="str">
        <f>VLOOKUP(C104,'Customers'!$A$2:$H$41,2,FALSE())</f>
        <v>Brandon Martin</v>
      </c>
      <c r="I104" s="25" t="s">
        <v>15</v>
      </c>
      <c r="J104" s="28">
        <f>IFERROR((Sales[[#This Row],[Revenue]]-Sales[[#This Row],[Cost]])/Sales[[#This Row],[Revenue]],0)</f>
        <v>0.2304313725490196</v>
      </c>
      <c r="K104" s="28" t="str">
        <f>_xlfn.IFNA(_xlfn.XLOOKUP(Sales[[#This Row],[Customer ID]],Customers[Customer ID],Customers[Region]),"Not found")</f>
        <v>Northeast</v>
      </c>
      <c r="L104" s="29">
        <f>DATE(YEAR(Sales[[#This Row],[Date]]),MONTH(Sales[[#This Row],[Date]]),1)</f>
        <v>45658</v>
      </c>
      <c r="M104" s="24"/>
    </row>
    <row r="105" spans="1:13" ht="16.8" x14ac:dyDescent="0.4">
      <c r="A105" s="30" t="s">
        <v>132</v>
      </c>
      <c r="B105" s="31">
        <v>45597</v>
      </c>
      <c r="C105" s="30" t="s">
        <v>133</v>
      </c>
      <c r="D105" s="30" t="s">
        <v>18</v>
      </c>
      <c r="E105" s="30">
        <v>9</v>
      </c>
      <c r="F105" s="32">
        <f>E105*VLOOKUP(D105,Products!$A$2:$C$7,2,FALSE())</f>
        <v>85500</v>
      </c>
      <c r="G105" s="32">
        <v>66818</v>
      </c>
      <c r="H105" s="30" t="str">
        <f>VLOOKUP(C105,'Customers'!$A$2:$H$41,2,FALSE())</f>
        <v>Sarah Brown</v>
      </c>
      <c r="I105" s="30" t="s">
        <v>11</v>
      </c>
      <c r="J105" s="33">
        <f>IFERROR((Sales[[#This Row],[Revenue]]-Sales[[#This Row],[Cost]])/Sales[[#This Row],[Revenue]],0)</f>
        <v>0.2185029239766082</v>
      </c>
      <c r="K105" s="33" t="str">
        <f>_xlfn.IFNA(_xlfn.XLOOKUP(Sales[[#This Row],[Customer ID]],Customers[Customer ID],Customers[Region]),"Not found")</f>
        <v>West</v>
      </c>
      <c r="L105" s="34">
        <f>DATE(YEAR(Sales[[#This Row],[Date]]),MONTH(Sales[[#This Row],[Date]]),1)</f>
        <v>45597</v>
      </c>
      <c r="M105" s="24"/>
    </row>
    <row r="106" spans="1:13" ht="16.8" x14ac:dyDescent="0.4">
      <c r="A106" s="25" t="s">
        <v>158</v>
      </c>
      <c r="B106" s="26">
        <v>45698</v>
      </c>
      <c r="C106" s="25" t="s">
        <v>82</v>
      </c>
      <c r="D106" s="25" t="s">
        <v>24</v>
      </c>
      <c r="E106" s="25">
        <v>52</v>
      </c>
      <c r="F106" s="27">
        <f>E106*VLOOKUP(D106,Products!$A$2:$C$7,2,FALSE())</f>
        <v>23400</v>
      </c>
      <c r="G106" s="27">
        <v>17116</v>
      </c>
      <c r="H106" s="25" t="str">
        <f>VLOOKUP(C106,'Customers'!$A$2:$H$41,2,FALSE())</f>
        <v>Ryan Moore</v>
      </c>
      <c r="I106" s="25" t="s">
        <v>15</v>
      </c>
      <c r="J106" s="28">
        <f>IFERROR((Sales[[#This Row],[Revenue]]-Sales[[#This Row],[Cost]])/Sales[[#This Row],[Revenue]],0)</f>
        <v>0.26854700854700853</v>
      </c>
      <c r="K106" s="28" t="str">
        <f>_xlfn.IFNA(_xlfn.XLOOKUP(Sales[[#This Row],[Customer ID]],Customers[Customer ID],Customers[Region]),"Not found")</f>
        <v>South</v>
      </c>
      <c r="L106" s="29">
        <f>DATE(YEAR(Sales[[#This Row],[Date]]),MONTH(Sales[[#This Row],[Date]]),1)</f>
        <v>45689</v>
      </c>
      <c r="M106" s="24"/>
    </row>
    <row r="107" spans="1:13" ht="16.8" x14ac:dyDescent="0.4">
      <c r="A107" s="30" t="s">
        <v>159</v>
      </c>
      <c r="B107" s="31">
        <v>45704</v>
      </c>
      <c r="C107" s="30" t="s">
        <v>112</v>
      </c>
      <c r="D107" s="30" t="s">
        <v>27</v>
      </c>
      <c r="E107" s="30">
        <v>12</v>
      </c>
      <c r="F107" s="32">
        <f>E107*VLOOKUP(D107,Products!$A$2:$C$7,2,FALSE())</f>
        <v>3600</v>
      </c>
      <c r="G107" s="32">
        <v>2565</v>
      </c>
      <c r="H107" s="30" t="str">
        <f>VLOOKUP(C107,'Customers'!$A$2:$H$41,2,FALSE())</f>
        <v>Samantha Robinson</v>
      </c>
      <c r="I107" s="30" t="s">
        <v>15</v>
      </c>
      <c r="J107" s="33">
        <f>IFERROR((Sales[[#This Row],[Revenue]]-Sales[[#This Row],[Cost]])/Sales[[#This Row],[Revenue]],0)</f>
        <v>0.28749999999999998</v>
      </c>
      <c r="K107" s="33" t="str">
        <f>_xlfn.IFNA(_xlfn.XLOOKUP(Sales[[#This Row],[Customer ID]],Customers[Customer ID],Customers[Region]),"Not found")</f>
        <v>Northeast</v>
      </c>
      <c r="L107" s="34">
        <f>DATE(YEAR(Sales[[#This Row],[Date]]),MONTH(Sales[[#This Row],[Date]]),1)</f>
        <v>45689</v>
      </c>
      <c r="M107" s="24"/>
    </row>
    <row r="108" spans="1:13" ht="16.8" x14ac:dyDescent="0.4">
      <c r="A108" s="25" t="s">
        <v>160</v>
      </c>
      <c r="B108" s="26">
        <v>45706</v>
      </c>
      <c r="C108" s="25" t="s">
        <v>138</v>
      </c>
      <c r="D108" s="25" t="s">
        <v>27</v>
      </c>
      <c r="E108" s="25">
        <v>51</v>
      </c>
      <c r="F108" s="27">
        <f>E108*VLOOKUP(D108,Products!$A$2:$C$7,2,FALSE())</f>
        <v>15300</v>
      </c>
      <c r="G108" s="27">
        <v>10545</v>
      </c>
      <c r="H108" s="25" t="str">
        <f>VLOOKUP(C108,'Customers'!$A$2:$H$41,2,FALSE())</f>
        <v>Megan Anderson</v>
      </c>
      <c r="I108" s="25" t="s">
        <v>15</v>
      </c>
      <c r="J108" s="28">
        <f>IFERROR((Sales[[#This Row],[Revenue]]-Sales[[#This Row],[Cost]])/Sales[[#This Row],[Revenue]],0)</f>
        <v>0.3107843137254902</v>
      </c>
      <c r="K108" s="28" t="str">
        <f>_xlfn.IFNA(_xlfn.XLOOKUP(Sales[[#This Row],[Customer ID]],Customers[Customer ID],Customers[Region]),"Not found")</f>
        <v>Midwest</v>
      </c>
      <c r="L108" s="29">
        <f>DATE(YEAR(Sales[[#This Row],[Date]]),MONTH(Sales[[#This Row],[Date]]),1)</f>
        <v>45689</v>
      </c>
      <c r="M108" s="24"/>
    </row>
    <row r="109" spans="1:13" ht="16.8" x14ac:dyDescent="0.4">
      <c r="A109" s="30" t="s">
        <v>161</v>
      </c>
      <c r="B109" s="31">
        <v>45706</v>
      </c>
      <c r="C109" s="30" t="s">
        <v>102</v>
      </c>
      <c r="D109" s="30" t="s">
        <v>14</v>
      </c>
      <c r="E109" s="30">
        <v>35</v>
      </c>
      <c r="F109" s="32">
        <f>E109*VLOOKUP(D109,Products!$A$2:$C$7,2,FALSE())</f>
        <v>42000</v>
      </c>
      <c r="G109" s="32">
        <v>31809</v>
      </c>
      <c r="H109" s="30" t="str">
        <f>VLOOKUP(C109,'Customers'!$A$2:$H$41,2,FALSE())</f>
        <v>Christopher Hernandez</v>
      </c>
      <c r="I109" s="30" t="s">
        <v>15</v>
      </c>
      <c r="J109" s="33">
        <f>IFERROR((Sales[[#This Row],[Revenue]]-Sales[[#This Row],[Cost]])/Sales[[#This Row],[Revenue]],0)</f>
        <v>0.24264285714285713</v>
      </c>
      <c r="K109" s="33" t="str">
        <f>_xlfn.IFNA(_xlfn.XLOOKUP(Sales[[#This Row],[Customer ID]],Customers[Customer ID],Customers[Region]),"Not found")</f>
        <v>Midwest</v>
      </c>
      <c r="L109" s="34">
        <f>DATE(YEAR(Sales[[#This Row],[Date]]),MONTH(Sales[[#This Row],[Date]]),1)</f>
        <v>45689</v>
      </c>
      <c r="M109" s="24"/>
    </row>
    <row r="110" spans="1:13" ht="16.8" x14ac:dyDescent="0.4">
      <c r="A110" s="25" t="s">
        <v>162</v>
      </c>
      <c r="B110" s="26">
        <v>45709</v>
      </c>
      <c r="C110" s="25" t="s">
        <v>85</v>
      </c>
      <c r="D110" s="25" t="s">
        <v>24</v>
      </c>
      <c r="E110" s="25">
        <v>8</v>
      </c>
      <c r="F110" s="27">
        <f>E110*VLOOKUP(D110,Products!$A$2:$C$7,2,FALSE())</f>
        <v>3600</v>
      </c>
      <c r="G110" s="27">
        <v>2644</v>
      </c>
      <c r="H110" s="25" t="str">
        <f>VLOOKUP(C110,'Customers'!$A$2:$H$41,2,FALSE())</f>
        <v>Brittany Scott</v>
      </c>
      <c r="I110" s="25" t="s">
        <v>15</v>
      </c>
      <c r="J110" s="28">
        <f>IFERROR((Sales[[#This Row],[Revenue]]-Sales[[#This Row],[Cost]])/Sales[[#This Row],[Revenue]],0)</f>
        <v>0.26555555555555554</v>
      </c>
      <c r="K110" s="28" t="str">
        <f>_xlfn.IFNA(_xlfn.XLOOKUP(Sales[[#This Row],[Customer ID]],Customers[Customer ID],Customers[Region]),"Not found")</f>
        <v>West</v>
      </c>
      <c r="L110" s="29">
        <f>DATE(YEAR(Sales[[#This Row],[Date]]),MONTH(Sales[[#This Row],[Date]]),1)</f>
        <v>45689</v>
      </c>
      <c r="M110" s="24"/>
    </row>
    <row r="111" spans="1:13" ht="16.8" x14ac:dyDescent="0.4">
      <c r="A111" s="30" t="s">
        <v>163</v>
      </c>
      <c r="B111" s="31">
        <v>45709</v>
      </c>
      <c r="C111" s="30" t="s">
        <v>112</v>
      </c>
      <c r="D111" s="30" t="s">
        <v>24</v>
      </c>
      <c r="E111" s="30">
        <v>46</v>
      </c>
      <c r="F111" s="32">
        <f>E111*VLOOKUP(D111,Products!$A$2:$C$7,2,FALSE())</f>
        <v>20700</v>
      </c>
      <c r="G111" s="32">
        <v>14163</v>
      </c>
      <c r="H111" s="30" t="str">
        <f>VLOOKUP(C111,'Customers'!$A$2:$H$41,2,FALSE())</f>
        <v>Samantha Robinson</v>
      </c>
      <c r="I111" s="30" t="s">
        <v>15</v>
      </c>
      <c r="J111" s="33">
        <f>IFERROR((Sales[[#This Row],[Revenue]]-Sales[[#This Row],[Cost]])/Sales[[#This Row],[Revenue]],0)</f>
        <v>0.31579710144927536</v>
      </c>
      <c r="K111" s="33" t="str">
        <f>_xlfn.IFNA(_xlfn.XLOOKUP(Sales[[#This Row],[Customer ID]],Customers[Customer ID],Customers[Region]),"Not found")</f>
        <v>Northeast</v>
      </c>
      <c r="L111" s="34">
        <f>DATE(YEAR(Sales[[#This Row],[Date]]),MONTH(Sales[[#This Row],[Date]]),1)</f>
        <v>45689</v>
      </c>
      <c r="M111" s="24"/>
    </row>
    <row r="112" spans="1:13" ht="16.8" x14ac:dyDescent="0.4">
      <c r="A112" s="25" t="s">
        <v>127</v>
      </c>
      <c r="B112" s="26">
        <v>45574</v>
      </c>
      <c r="C112" s="25" t="s">
        <v>31</v>
      </c>
      <c r="D112" s="25" t="s">
        <v>52</v>
      </c>
      <c r="E112" s="25">
        <v>56</v>
      </c>
      <c r="F112" s="27">
        <f>E112*VLOOKUP(D112,Products!$A$2:$C$7,2,FALSE())</f>
        <v>100800</v>
      </c>
      <c r="G112" s="27">
        <v>76254</v>
      </c>
      <c r="H112" s="25" t="str">
        <f>VLOOKUP(C112,'Customers'!$A$2:$H$41,2,FALSE())</f>
        <v>Olivia King</v>
      </c>
      <c r="I112" s="25" t="s">
        <v>15</v>
      </c>
      <c r="J112" s="28">
        <f>IFERROR((Sales[[#This Row],[Revenue]]-Sales[[#This Row],[Cost]])/Sales[[#This Row],[Revenue]],0)</f>
        <v>0.24351190476190476</v>
      </c>
      <c r="K112" s="28" t="str">
        <f>_xlfn.IFNA(_xlfn.XLOOKUP(Sales[[#This Row],[Customer ID]],Customers[Customer ID],Customers[Region]),"Not found")</f>
        <v>Northeast</v>
      </c>
      <c r="L112" s="29">
        <f>DATE(YEAR(Sales[[#This Row],[Date]]),MONTH(Sales[[#This Row],[Date]]),1)</f>
        <v>45566</v>
      </c>
      <c r="M112" s="24"/>
    </row>
    <row r="113" spans="1:13" ht="16.8" x14ac:dyDescent="0.4">
      <c r="A113" s="30" t="s">
        <v>125</v>
      </c>
      <c r="B113" s="31">
        <v>45569</v>
      </c>
      <c r="C113" s="30" t="s">
        <v>56</v>
      </c>
      <c r="D113" s="30" t="s">
        <v>18</v>
      </c>
      <c r="E113" s="30">
        <v>10</v>
      </c>
      <c r="F113" s="32">
        <f>E113*VLOOKUP(D113,Products!$A$2:$C$7,2,FALSE())</f>
        <v>95000</v>
      </c>
      <c r="G113" s="32">
        <v>72293</v>
      </c>
      <c r="H113" s="30" t="str">
        <f>VLOOKUP(C113,'Customers'!$A$2:$H$41,2,FALSE())</f>
        <v>Nathan Allen</v>
      </c>
      <c r="I113" s="30" t="s">
        <v>47</v>
      </c>
      <c r="J113" s="33">
        <f>IFERROR((Sales[[#This Row],[Revenue]]-Sales[[#This Row],[Cost]])/Sales[[#This Row],[Revenue]],0)</f>
        <v>0.23902105263157894</v>
      </c>
      <c r="K113" s="33" t="str">
        <f>_xlfn.IFNA(_xlfn.XLOOKUP(Sales[[#This Row],[Customer ID]],Customers[Customer ID],Customers[Region]),"Not found")</f>
        <v>West</v>
      </c>
      <c r="L113" s="34">
        <f>DATE(YEAR(Sales[[#This Row],[Date]]),MONTH(Sales[[#This Row],[Date]]),1)</f>
        <v>45566</v>
      </c>
      <c r="M113" s="24"/>
    </row>
    <row r="114" spans="1:13" ht="16.8" x14ac:dyDescent="0.4">
      <c r="A114" s="25" t="s">
        <v>166</v>
      </c>
      <c r="B114" s="26">
        <v>45717</v>
      </c>
      <c r="C114" s="25" t="s">
        <v>167</v>
      </c>
      <c r="D114" s="25" t="s">
        <v>10</v>
      </c>
      <c r="E114" s="25">
        <v>29</v>
      </c>
      <c r="F114" s="27">
        <f>E114*VLOOKUP(D114,Products!$A$2:$C$7,2,FALSE())</f>
        <v>24650</v>
      </c>
      <c r="G114" s="27">
        <v>17600</v>
      </c>
      <c r="H114" s="25" t="str">
        <f>VLOOKUP(C114,'Customers'!$A$2:$H$41,2,FALSE())</f>
        <v>Justin Walker</v>
      </c>
      <c r="I114" s="25" t="s">
        <v>15</v>
      </c>
      <c r="J114" s="28">
        <f>IFERROR((Sales[[#This Row],[Revenue]]-Sales[[#This Row],[Cost]])/Sales[[#This Row],[Revenue]],0)</f>
        <v>0.28600405679513186</v>
      </c>
      <c r="K114" s="28" t="str">
        <f>_xlfn.IFNA(_xlfn.XLOOKUP(Sales[[#This Row],[Customer ID]],Customers[Customer ID],Customers[Region]),"Not found")</f>
        <v>Northeast</v>
      </c>
      <c r="L114" s="29">
        <f>DATE(YEAR(Sales[[#This Row],[Date]]),MONTH(Sales[[#This Row],[Date]]),1)</f>
        <v>45717</v>
      </c>
      <c r="M114" s="24"/>
    </row>
    <row r="115" spans="1:13" ht="16.8" x14ac:dyDescent="0.4">
      <c r="A115" s="30" t="s">
        <v>118</v>
      </c>
      <c r="B115" s="31">
        <v>45554</v>
      </c>
      <c r="C115" s="30" t="s">
        <v>119</v>
      </c>
      <c r="D115" s="30" t="s">
        <v>52</v>
      </c>
      <c r="E115" s="30">
        <v>56</v>
      </c>
      <c r="F115" s="32">
        <f>E115*VLOOKUP(D115,Products!$A$2:$C$7,2,FALSE())</f>
        <v>100800</v>
      </c>
      <c r="G115" s="32">
        <v>77012</v>
      </c>
      <c r="H115" s="30" t="str">
        <f>VLOOKUP(C115,'Customers'!$A$2:$H$41,2,FALSE())</f>
        <v>Rebecca Campbell</v>
      </c>
      <c r="I115" s="30" t="s">
        <v>15</v>
      </c>
      <c r="J115" s="33">
        <f>IFERROR((Sales[[#This Row],[Revenue]]-Sales[[#This Row],[Cost]])/Sales[[#This Row],[Revenue]],0)</f>
        <v>0.2359920634920635</v>
      </c>
      <c r="K115" s="33" t="str">
        <f>_xlfn.IFNA(_xlfn.XLOOKUP(Sales[[#This Row],[Customer ID]],Customers[Customer ID],Customers[Region]),"Not found")</f>
        <v>West</v>
      </c>
      <c r="L115" s="34">
        <f>DATE(YEAR(Sales[[#This Row],[Date]]),MONTH(Sales[[#This Row],[Date]]),1)</f>
        <v>45536</v>
      </c>
      <c r="M115" s="24"/>
    </row>
    <row r="116" spans="1:13" ht="16.8" x14ac:dyDescent="0.4">
      <c r="A116" s="25" t="s">
        <v>169</v>
      </c>
      <c r="B116" s="26">
        <v>45719</v>
      </c>
      <c r="C116" s="25" t="s">
        <v>22</v>
      </c>
      <c r="D116" s="25" t="s">
        <v>14</v>
      </c>
      <c r="E116" s="25">
        <v>40</v>
      </c>
      <c r="F116" s="27">
        <f>E116*VLOOKUP(D116,Products!$A$2:$C$7,2,FALSE())</f>
        <v>48000</v>
      </c>
      <c r="G116" s="27">
        <v>36682</v>
      </c>
      <c r="H116" s="25" t="str">
        <f>VLOOKUP(C116,'Customers'!$A$2:$H$41,2,FALSE())</f>
        <v>Nicole White</v>
      </c>
      <c r="I116" s="25" t="s">
        <v>15</v>
      </c>
      <c r="J116" s="28">
        <f>IFERROR((Sales[[#This Row],[Revenue]]-Sales[[#This Row],[Cost]])/Sales[[#This Row],[Revenue]],0)</f>
        <v>0.23579166666666668</v>
      </c>
      <c r="K116" s="28" t="str">
        <f>_xlfn.IFNA(_xlfn.XLOOKUP(Sales[[#This Row],[Customer ID]],Customers[Customer ID],Customers[Region]),"Not found")</f>
        <v>West</v>
      </c>
      <c r="L116" s="29">
        <f>DATE(YEAR(Sales[[#This Row],[Date]]),MONTH(Sales[[#This Row],[Date]]),1)</f>
        <v>45717</v>
      </c>
      <c r="M116" s="24"/>
    </row>
    <row r="117" spans="1:13" ht="16.8" x14ac:dyDescent="0.4">
      <c r="A117" s="30" t="s">
        <v>170</v>
      </c>
      <c r="B117" s="31">
        <v>45721</v>
      </c>
      <c r="C117" s="30" t="s">
        <v>37</v>
      </c>
      <c r="D117" s="30" t="s">
        <v>10</v>
      </c>
      <c r="E117" s="30">
        <v>38</v>
      </c>
      <c r="F117" s="32">
        <f>E117*VLOOKUP(D117,Products!$A$2:$C$7,2,FALSE())</f>
        <v>32300</v>
      </c>
      <c r="G117" s="32">
        <v>24113</v>
      </c>
      <c r="H117" s="30" t="str">
        <f>VLOOKUP(C117,'Customers'!$A$2:$H$41,2,FALSE())</f>
        <v>Ethan Green</v>
      </c>
      <c r="I117" s="30" t="s">
        <v>15</v>
      </c>
      <c r="J117" s="33">
        <f>IFERROR((Sales[[#This Row],[Revenue]]-Sales[[#This Row],[Cost]])/Sales[[#This Row],[Revenue]],0)</f>
        <v>0.25346749226006193</v>
      </c>
      <c r="K117" s="33" t="str">
        <f>_xlfn.IFNA(_xlfn.XLOOKUP(Sales[[#This Row],[Customer ID]],Customers[Customer ID],Customers[Region]),"Not found")</f>
        <v>West</v>
      </c>
      <c r="L117" s="34">
        <f>DATE(YEAR(Sales[[#This Row],[Date]]),MONTH(Sales[[#This Row],[Date]]),1)</f>
        <v>45717</v>
      </c>
      <c r="M117" s="24"/>
    </row>
    <row r="118" spans="1:13" ht="16.8" x14ac:dyDescent="0.4">
      <c r="A118" s="25" t="s">
        <v>171</v>
      </c>
      <c r="B118" s="26">
        <v>45724</v>
      </c>
      <c r="C118" s="25" t="s">
        <v>82</v>
      </c>
      <c r="D118" s="25" t="s">
        <v>24</v>
      </c>
      <c r="E118" s="25">
        <v>56</v>
      </c>
      <c r="F118" s="27">
        <f>E118*VLOOKUP(D118,Products!$A$2:$C$7,2,FALSE())</f>
        <v>25200</v>
      </c>
      <c r="G118" s="27">
        <v>18375</v>
      </c>
      <c r="H118" s="25" t="str">
        <f>VLOOKUP(C118,'Customers'!$A$2:$H$41,2,FALSE())</f>
        <v>Ryan Moore</v>
      </c>
      <c r="I118" s="25" t="s">
        <v>11</v>
      </c>
      <c r="J118" s="28">
        <f>IFERROR((Sales[[#This Row],[Revenue]]-Sales[[#This Row],[Cost]])/Sales[[#This Row],[Revenue]],0)</f>
        <v>0.27083333333333331</v>
      </c>
      <c r="K118" s="28" t="str">
        <f>_xlfn.IFNA(_xlfn.XLOOKUP(Sales[[#This Row],[Customer ID]],Customers[Customer ID],Customers[Region]),"Not found")</f>
        <v>South</v>
      </c>
      <c r="L118" s="29">
        <f>DATE(YEAR(Sales[[#This Row],[Date]]),MONTH(Sales[[#This Row],[Date]]),1)</f>
        <v>45717</v>
      </c>
      <c r="M118" s="24"/>
    </row>
    <row r="119" spans="1:13" ht="16.8" x14ac:dyDescent="0.4">
      <c r="A119" s="30" t="s">
        <v>115</v>
      </c>
      <c r="B119" s="31">
        <v>45551</v>
      </c>
      <c r="C119" s="30" t="s">
        <v>107</v>
      </c>
      <c r="D119" s="30" t="s">
        <v>14</v>
      </c>
      <c r="E119" s="30">
        <v>51</v>
      </c>
      <c r="F119" s="32">
        <f>E119*VLOOKUP(D119,Products!$A$2:$C$7,2,FALSE())</f>
        <v>61200</v>
      </c>
      <c r="G119" s="32">
        <v>45350</v>
      </c>
      <c r="H119" s="30" t="str">
        <f>VLOOKUP(C119,'Customers'!$A$2:$H$41,2,FALSE())</f>
        <v>Brandon Martin</v>
      </c>
      <c r="I119" s="30" t="s">
        <v>15</v>
      </c>
      <c r="J119" s="33">
        <f>IFERROR((Sales[[#This Row],[Revenue]]-Sales[[#This Row],[Cost]])/Sales[[#This Row],[Revenue]],0)</f>
        <v>0.25898692810457519</v>
      </c>
      <c r="K119" s="33" t="str">
        <f>_xlfn.IFNA(_xlfn.XLOOKUP(Sales[[#This Row],[Customer ID]],Customers[Customer ID],Customers[Region]),"Not found")</f>
        <v>Northeast</v>
      </c>
      <c r="L119" s="34">
        <f>DATE(YEAR(Sales[[#This Row],[Date]]),MONTH(Sales[[#This Row],[Date]]),1)</f>
        <v>45536</v>
      </c>
      <c r="M119" s="24"/>
    </row>
    <row r="120" spans="1:13" ht="16.8" x14ac:dyDescent="0.4">
      <c r="A120" s="25" t="s">
        <v>113</v>
      </c>
      <c r="B120" s="26">
        <v>45540</v>
      </c>
      <c r="C120" s="25" t="s">
        <v>37</v>
      </c>
      <c r="D120" s="25" t="s">
        <v>52</v>
      </c>
      <c r="E120" s="25">
        <v>45</v>
      </c>
      <c r="F120" s="27">
        <f>E120*VLOOKUP(D120,Products!$A$2:$C$7,2,FALSE())</f>
        <v>81000</v>
      </c>
      <c r="G120" s="27">
        <v>59604</v>
      </c>
      <c r="H120" s="25" t="str">
        <f>VLOOKUP(C120,'Customers'!$A$2:$H$41,2,FALSE())</f>
        <v>Ethan Green</v>
      </c>
      <c r="I120" s="25" t="s">
        <v>15</v>
      </c>
      <c r="J120" s="28">
        <f>IFERROR((Sales[[#This Row],[Revenue]]-Sales[[#This Row],[Cost]])/Sales[[#This Row],[Revenue]],0)</f>
        <v>0.26414814814814813</v>
      </c>
      <c r="K120" s="28" t="str">
        <f>_xlfn.IFNA(_xlfn.XLOOKUP(Sales[[#This Row],[Customer ID]],Customers[Customer ID],Customers[Region]),"Not found")</f>
        <v>West</v>
      </c>
      <c r="L120" s="29">
        <f>DATE(YEAR(Sales[[#This Row],[Date]]),MONTH(Sales[[#This Row],[Date]]),1)</f>
        <v>45536</v>
      </c>
      <c r="M120" s="24"/>
    </row>
    <row r="121" spans="1:13" ht="16.8" x14ac:dyDescent="0.4">
      <c r="A121" s="30" t="s">
        <v>174</v>
      </c>
      <c r="B121" s="31">
        <v>45733</v>
      </c>
      <c r="C121" s="30" t="s">
        <v>122</v>
      </c>
      <c r="D121" s="30" t="s">
        <v>14</v>
      </c>
      <c r="E121" s="30">
        <v>22</v>
      </c>
      <c r="F121" s="32">
        <f>E121*VLOOKUP(D121,Products!$A$2:$C$7,2,FALSE())</f>
        <v>26400</v>
      </c>
      <c r="G121" s="32">
        <v>20504</v>
      </c>
      <c r="H121" s="30" t="str">
        <f>VLOOKUP(C121,'Customers'!$A$2:$H$41,2,FALSE())</f>
        <v>Jacob Lewis</v>
      </c>
      <c r="I121" s="30" t="s">
        <v>15</v>
      </c>
      <c r="J121" s="33">
        <f>IFERROR((Sales[[#This Row],[Revenue]]-Sales[[#This Row],[Cost]])/Sales[[#This Row],[Revenue]],0)</f>
        <v>0.22333333333333333</v>
      </c>
      <c r="K121" s="33" t="str">
        <f>_xlfn.IFNA(_xlfn.XLOOKUP(Sales[[#This Row],[Customer ID]],Customers[Customer ID],Customers[Region]),"Not found")</f>
        <v>West</v>
      </c>
      <c r="L121" s="34">
        <f>DATE(YEAR(Sales[[#This Row],[Date]]),MONTH(Sales[[#This Row],[Date]]),1)</f>
        <v>45717</v>
      </c>
      <c r="M121" s="24"/>
    </row>
    <row r="122" spans="1:13" ht="16.8" x14ac:dyDescent="0.4">
      <c r="A122" s="25" t="s">
        <v>175</v>
      </c>
      <c r="B122" s="26">
        <v>45734</v>
      </c>
      <c r="C122" s="25" t="s">
        <v>56</v>
      </c>
      <c r="D122" s="25" t="s">
        <v>14</v>
      </c>
      <c r="E122" s="25">
        <v>26</v>
      </c>
      <c r="F122" s="27">
        <f>E122*VLOOKUP(D122,Products!$A$2:$C$7,2,FALSE())</f>
        <v>31200</v>
      </c>
      <c r="G122" s="27">
        <v>22849</v>
      </c>
      <c r="H122" s="25" t="str">
        <f>VLOOKUP(C122,'Customers'!$A$2:$H$41,2,FALSE())</f>
        <v>Nathan Allen</v>
      </c>
      <c r="I122" s="25" t="s">
        <v>15</v>
      </c>
      <c r="J122" s="28">
        <f>IFERROR((Sales[[#This Row],[Revenue]]-Sales[[#This Row],[Cost]])/Sales[[#This Row],[Revenue]],0)</f>
        <v>0.26766025641025643</v>
      </c>
      <c r="K122" s="28" t="str">
        <f>_xlfn.IFNA(_xlfn.XLOOKUP(Sales[[#This Row],[Customer ID]],Customers[Customer ID],Customers[Region]),"Not found")</f>
        <v>West</v>
      </c>
      <c r="L122" s="29">
        <f>DATE(YEAR(Sales[[#This Row],[Date]]),MONTH(Sales[[#This Row],[Date]]),1)</f>
        <v>45717</v>
      </c>
      <c r="M122" s="24"/>
    </row>
    <row r="123" spans="1:13" ht="16.8" x14ac:dyDescent="0.4">
      <c r="A123" s="30" t="s">
        <v>176</v>
      </c>
      <c r="B123" s="31">
        <v>45744</v>
      </c>
      <c r="C123" s="30" t="s">
        <v>29</v>
      </c>
      <c r="D123" s="30" t="s">
        <v>14</v>
      </c>
      <c r="E123" s="30">
        <v>22</v>
      </c>
      <c r="F123" s="32">
        <f>E123*VLOOKUP(D123,Products!$A$2:$C$7,2,FALSE())</f>
        <v>26400</v>
      </c>
      <c r="G123" s="32">
        <v>19063</v>
      </c>
      <c r="H123" s="30" t="str">
        <f>VLOOKUP(C123,'Customers'!$A$2:$H$41,2,FALSE())</f>
        <v>Jessica Garcia</v>
      </c>
      <c r="I123" s="30" t="s">
        <v>11</v>
      </c>
      <c r="J123" s="33">
        <f>IFERROR((Sales[[#This Row],[Revenue]]-Sales[[#This Row],[Cost]])/Sales[[#This Row],[Revenue]],0)</f>
        <v>0.27791666666666665</v>
      </c>
      <c r="K123" s="33" t="str">
        <f>_xlfn.IFNA(_xlfn.XLOOKUP(Sales[[#This Row],[Customer ID]],Customers[Customer ID],Customers[Region]),"Not found")</f>
        <v>South</v>
      </c>
      <c r="L123" s="34">
        <f>DATE(YEAR(Sales[[#This Row],[Date]]),MONTH(Sales[[#This Row],[Date]]),1)</f>
        <v>45717</v>
      </c>
      <c r="M123" s="24"/>
    </row>
    <row r="124" spans="1:13" ht="16.8" x14ac:dyDescent="0.4">
      <c r="A124" s="25" t="s">
        <v>177</v>
      </c>
      <c r="B124" s="26">
        <v>45749</v>
      </c>
      <c r="C124" s="25" t="s">
        <v>60</v>
      </c>
      <c r="D124" s="25" t="s">
        <v>52</v>
      </c>
      <c r="E124" s="25">
        <v>19</v>
      </c>
      <c r="F124" s="27">
        <f>E124*VLOOKUP(D124,Products!$A$2:$C$7,2,FALSE())</f>
        <v>34200</v>
      </c>
      <c r="G124" s="27">
        <v>26290</v>
      </c>
      <c r="H124" s="25" t="str">
        <f>VLOOKUP(C124,'Customers'!$A$2:$H$41,2,FALSE())</f>
        <v>Matthew Rodriguez</v>
      </c>
      <c r="I124" s="25" t="s">
        <v>15</v>
      </c>
      <c r="J124" s="28">
        <f>IFERROR((Sales[[#This Row],[Revenue]]-Sales[[#This Row],[Cost]])/Sales[[#This Row],[Revenue]],0)</f>
        <v>0.23128654970760235</v>
      </c>
      <c r="K124" s="28" t="str">
        <f>_xlfn.IFNA(_xlfn.XLOOKUP(Sales[[#This Row],[Customer ID]],Customers[Customer ID],Customers[Region]),"Not found")</f>
        <v>West</v>
      </c>
      <c r="L124" s="29">
        <f>DATE(YEAR(Sales[[#This Row],[Date]]),MONTH(Sales[[#This Row],[Date]]),1)</f>
        <v>45748</v>
      </c>
      <c r="M124" s="24"/>
    </row>
    <row r="125" spans="1:13" ht="16.8" x14ac:dyDescent="0.4">
      <c r="A125" s="30" t="s">
        <v>178</v>
      </c>
      <c r="B125" s="31">
        <v>45749</v>
      </c>
      <c r="C125" s="30" t="s">
        <v>58</v>
      </c>
      <c r="D125" s="30" t="s">
        <v>10</v>
      </c>
      <c r="E125" s="30">
        <v>13</v>
      </c>
      <c r="F125" s="32">
        <f>E125*VLOOKUP(D125,Products!$A$2:$C$7,2,FALSE())</f>
        <v>11050</v>
      </c>
      <c r="G125" s="32">
        <v>8403</v>
      </c>
      <c r="H125" s="30" t="str">
        <f>VLOOKUP(C125,'Customers'!$A$2:$H$41,2,FALSE())</f>
        <v>Stephanie Lee</v>
      </c>
      <c r="I125" s="30" t="s">
        <v>15</v>
      </c>
      <c r="J125" s="33">
        <f>IFERROR((Sales[[#This Row],[Revenue]]-Sales[[#This Row],[Cost]])/Sales[[#This Row],[Revenue]],0)</f>
        <v>0.23954751131221719</v>
      </c>
      <c r="K125" s="33" t="str">
        <f>_xlfn.IFNA(_xlfn.XLOOKUP(Sales[[#This Row],[Customer ID]],Customers[Customer ID],Customers[Region]),"Not found")</f>
        <v>Northeast</v>
      </c>
      <c r="L125" s="34">
        <f>DATE(YEAR(Sales[[#This Row],[Date]]),MONTH(Sales[[#This Row],[Date]]),1)</f>
        <v>45748</v>
      </c>
      <c r="M125" s="24"/>
    </row>
    <row r="126" spans="1:13" ht="16.8" x14ac:dyDescent="0.4">
      <c r="A126" s="25" t="s">
        <v>179</v>
      </c>
      <c r="B126" s="26">
        <v>45751</v>
      </c>
      <c r="C126" s="25" t="s">
        <v>117</v>
      </c>
      <c r="D126" s="25" t="s">
        <v>14</v>
      </c>
      <c r="E126" s="25">
        <v>14</v>
      </c>
      <c r="F126" s="27">
        <f>E126*VLOOKUP(D126,Products!$A$2:$C$7,2,FALSE())</f>
        <v>16800</v>
      </c>
      <c r="G126" s="27">
        <v>12386</v>
      </c>
      <c r="H126" s="25" t="str">
        <f>VLOOKUP(C126,'Customers'!$A$2:$H$41,2,FALSE())</f>
        <v>Amanda Martinez</v>
      </c>
      <c r="I126" s="25" t="s">
        <v>15</v>
      </c>
      <c r="J126" s="28">
        <f>IFERROR((Sales[[#This Row],[Revenue]]-Sales[[#This Row],[Cost]])/Sales[[#This Row],[Revenue]],0)</f>
        <v>0.26273809523809522</v>
      </c>
      <c r="K126" s="28" t="str">
        <f>_xlfn.IFNA(_xlfn.XLOOKUP(Sales[[#This Row],[Customer ID]],Customers[Customer ID],Customers[Region]),"Not found")</f>
        <v>West</v>
      </c>
      <c r="L126" s="29">
        <f>DATE(YEAR(Sales[[#This Row],[Date]]),MONTH(Sales[[#This Row],[Date]]),1)</f>
        <v>45748</v>
      </c>
      <c r="M126" s="24"/>
    </row>
    <row r="127" spans="1:13" ht="16.8" x14ac:dyDescent="0.4">
      <c r="A127" s="30" t="s">
        <v>110</v>
      </c>
      <c r="B127" s="31">
        <v>45538</v>
      </c>
      <c r="C127" s="30" t="s">
        <v>88</v>
      </c>
      <c r="D127" s="30" t="s">
        <v>18</v>
      </c>
      <c r="E127" s="30">
        <v>10</v>
      </c>
      <c r="F127" s="32">
        <f>E127*VLOOKUP(D127,Products!$A$2:$C$7,2,FALSE())</f>
        <v>95000</v>
      </c>
      <c r="G127" s="32">
        <v>72796</v>
      </c>
      <c r="H127" s="30" t="str">
        <f>VLOOKUP(C127,'Customers'!$A$2:$H$41,2,FALSE())</f>
        <v>Rachel Jackson</v>
      </c>
      <c r="I127" s="30" t="s">
        <v>11</v>
      </c>
      <c r="J127" s="33">
        <f>IFERROR((Sales[[#This Row],[Revenue]]-Sales[[#This Row],[Cost]])/Sales[[#This Row],[Revenue]],0)</f>
        <v>0.23372631578947367</v>
      </c>
      <c r="K127" s="33" t="str">
        <f>_xlfn.IFNA(_xlfn.XLOOKUP(Sales[[#This Row],[Customer ID]],Customers[Customer ID],Customers[Region]),"Not found")</f>
        <v>West</v>
      </c>
      <c r="L127" s="34">
        <f>DATE(YEAR(Sales[[#This Row],[Date]]),MONTH(Sales[[#This Row],[Date]]),1)</f>
        <v>45536</v>
      </c>
      <c r="M127" s="24"/>
    </row>
    <row r="128" spans="1:13" ht="16.8" x14ac:dyDescent="0.4">
      <c r="A128" s="25" t="s">
        <v>181</v>
      </c>
      <c r="B128" s="26">
        <v>45769</v>
      </c>
      <c r="C128" s="25" t="s">
        <v>31</v>
      </c>
      <c r="D128" s="25" t="s">
        <v>52</v>
      </c>
      <c r="E128" s="25">
        <v>10</v>
      </c>
      <c r="F128" s="27">
        <f>E128*VLOOKUP(D128,Products!$A$2:$C$7,2,FALSE())</f>
        <v>18000</v>
      </c>
      <c r="G128" s="27">
        <v>13181</v>
      </c>
      <c r="H128" s="25" t="str">
        <f>VLOOKUP(C128,'Customers'!$A$2:$H$41,2,FALSE())</f>
        <v>Olivia King</v>
      </c>
      <c r="I128" s="25" t="s">
        <v>15</v>
      </c>
      <c r="J128" s="28">
        <f>IFERROR((Sales[[#This Row],[Revenue]]-Sales[[#This Row],[Cost]])/Sales[[#This Row],[Revenue]],0)</f>
        <v>0.26772222222222219</v>
      </c>
      <c r="K128" s="28" t="str">
        <f>_xlfn.IFNA(_xlfn.XLOOKUP(Sales[[#This Row],[Customer ID]],Customers[Customer ID],Customers[Region]),"Not found")</f>
        <v>Northeast</v>
      </c>
      <c r="L128" s="29">
        <f>DATE(YEAR(Sales[[#This Row],[Date]]),MONTH(Sales[[#This Row],[Date]]),1)</f>
        <v>45748</v>
      </c>
      <c r="M128" s="24"/>
    </row>
    <row r="129" spans="1:13" ht="16.8" x14ac:dyDescent="0.4">
      <c r="A129" s="30" t="s">
        <v>182</v>
      </c>
      <c r="B129" s="31">
        <v>45773</v>
      </c>
      <c r="C129" s="30" t="s">
        <v>85</v>
      </c>
      <c r="D129" s="30" t="s">
        <v>18</v>
      </c>
      <c r="E129" s="30">
        <v>2</v>
      </c>
      <c r="F129" s="32">
        <f>E129*VLOOKUP(D129,Products!$A$2:$C$7,2,FALSE())</f>
        <v>19000</v>
      </c>
      <c r="G129" s="32">
        <v>14312</v>
      </c>
      <c r="H129" s="30" t="str">
        <f>VLOOKUP(C129,'Customers'!$A$2:$H$41,2,FALSE())</f>
        <v>Brittany Scott</v>
      </c>
      <c r="I129" s="30" t="s">
        <v>15</v>
      </c>
      <c r="J129" s="33">
        <f>IFERROR((Sales[[#This Row],[Revenue]]-Sales[[#This Row],[Cost]])/Sales[[#This Row],[Revenue]],0)</f>
        <v>0.24673684210526317</v>
      </c>
      <c r="K129" s="33" t="str">
        <f>_xlfn.IFNA(_xlfn.XLOOKUP(Sales[[#This Row],[Customer ID]],Customers[Customer ID],Customers[Region]),"Not found")</f>
        <v>West</v>
      </c>
      <c r="L129" s="34">
        <f>DATE(YEAR(Sales[[#This Row],[Date]]),MONTH(Sales[[#This Row],[Date]]),1)</f>
        <v>45748</v>
      </c>
      <c r="M129" s="24"/>
    </row>
    <row r="130" spans="1:13" ht="16.8" x14ac:dyDescent="0.4">
      <c r="A130" s="25" t="s">
        <v>183</v>
      </c>
      <c r="B130" s="26">
        <v>45774</v>
      </c>
      <c r="C130" s="25" t="s">
        <v>31</v>
      </c>
      <c r="D130" s="25" t="s">
        <v>27</v>
      </c>
      <c r="E130" s="25">
        <v>33</v>
      </c>
      <c r="F130" s="27">
        <f>E130*VLOOKUP(D130,Products!$A$2:$C$7,2,FALSE())</f>
        <v>9900</v>
      </c>
      <c r="G130" s="27">
        <v>6795</v>
      </c>
      <c r="H130" s="25" t="str">
        <f>VLOOKUP(C130,'Customers'!$A$2:$H$41,2,FALSE())</f>
        <v>Olivia King</v>
      </c>
      <c r="I130" s="25" t="s">
        <v>15</v>
      </c>
      <c r="J130" s="28">
        <f>IFERROR((Sales[[#This Row],[Revenue]]-Sales[[#This Row],[Cost]])/Sales[[#This Row],[Revenue]],0)</f>
        <v>0.31363636363636366</v>
      </c>
      <c r="K130" s="28" t="str">
        <f>_xlfn.IFNA(_xlfn.XLOOKUP(Sales[[#This Row],[Customer ID]],Customers[Customer ID],Customers[Region]),"Not found")</f>
        <v>Northeast</v>
      </c>
      <c r="L130" s="29">
        <f>DATE(YEAR(Sales[[#This Row],[Date]]),MONTH(Sales[[#This Row],[Date]]),1)</f>
        <v>45748</v>
      </c>
      <c r="M130" s="24"/>
    </row>
    <row r="131" spans="1:13" ht="16.8" x14ac:dyDescent="0.4">
      <c r="A131" s="30" t="s">
        <v>184</v>
      </c>
      <c r="B131" s="31">
        <v>45780</v>
      </c>
      <c r="C131" s="30" t="s">
        <v>85</v>
      </c>
      <c r="D131" s="30" t="s">
        <v>14</v>
      </c>
      <c r="E131" s="30">
        <v>17</v>
      </c>
      <c r="F131" s="32">
        <f>E131*VLOOKUP(D131,Products!$A$2:$C$7,2,FALSE())</f>
        <v>20400</v>
      </c>
      <c r="G131" s="32">
        <v>15564</v>
      </c>
      <c r="H131" s="30" t="str">
        <f>VLOOKUP(C131,'Customers'!$A$2:$H$41,2,FALSE())</f>
        <v>Brittany Scott</v>
      </c>
      <c r="I131" s="30" t="s">
        <v>15</v>
      </c>
      <c r="J131" s="33">
        <f>IFERROR((Sales[[#This Row],[Revenue]]-Sales[[#This Row],[Cost]])/Sales[[#This Row],[Revenue]],0)</f>
        <v>0.23705882352941177</v>
      </c>
      <c r="K131" s="33" t="str">
        <f>_xlfn.IFNA(_xlfn.XLOOKUP(Sales[[#This Row],[Customer ID]],Customers[Customer ID],Customers[Region]),"Not found")</f>
        <v>West</v>
      </c>
      <c r="L131" s="34">
        <f>DATE(YEAR(Sales[[#This Row],[Date]]),MONTH(Sales[[#This Row],[Date]]),1)</f>
        <v>45778</v>
      </c>
      <c r="M131" s="24"/>
    </row>
    <row r="132" spans="1:13" ht="16.8" x14ac:dyDescent="0.4">
      <c r="A132" s="25" t="s">
        <v>111</v>
      </c>
      <c r="B132" s="26">
        <v>45538</v>
      </c>
      <c r="C132" s="25" t="s">
        <v>112</v>
      </c>
      <c r="D132" s="25" t="s">
        <v>14</v>
      </c>
      <c r="E132" s="25">
        <v>42</v>
      </c>
      <c r="F132" s="27">
        <f>E132*VLOOKUP(D132,Products!$A$2:$C$7,2,FALSE())</f>
        <v>50400</v>
      </c>
      <c r="G132" s="27">
        <v>38653</v>
      </c>
      <c r="H132" s="25" t="str">
        <f>VLOOKUP(C132,'Customers'!$A$2:$H$41,2,FALSE())</f>
        <v>Samantha Robinson</v>
      </c>
      <c r="I132" s="25" t="s">
        <v>15</v>
      </c>
      <c r="J132" s="28">
        <f>IFERROR((Sales[[#This Row],[Revenue]]-Sales[[#This Row],[Cost]])/Sales[[#This Row],[Revenue]],0)</f>
        <v>0.23307539682539682</v>
      </c>
      <c r="K132" s="28" t="str">
        <f>_xlfn.IFNA(_xlfn.XLOOKUP(Sales[[#This Row],[Customer ID]],Customers[Customer ID],Customers[Region]),"Not found")</f>
        <v>Northeast</v>
      </c>
      <c r="L132" s="29">
        <f>DATE(YEAR(Sales[[#This Row],[Date]]),MONTH(Sales[[#This Row],[Date]]),1)</f>
        <v>45536</v>
      </c>
      <c r="M132" s="24"/>
    </row>
    <row r="133" spans="1:13" ht="16.8" x14ac:dyDescent="0.4">
      <c r="A133" s="30" t="s">
        <v>186</v>
      </c>
      <c r="B133" s="31">
        <v>45785</v>
      </c>
      <c r="C133" s="30" t="s">
        <v>131</v>
      </c>
      <c r="D133" s="30" t="s">
        <v>24</v>
      </c>
      <c r="E133" s="30">
        <v>6</v>
      </c>
      <c r="F133" s="32">
        <f>E133*VLOOKUP(D133,Products!$A$2:$C$7,2,FALSE())</f>
        <v>2700</v>
      </c>
      <c r="G133" s="32">
        <v>1921</v>
      </c>
      <c r="H133" s="30" t="str">
        <f>VLOOKUP(C133,'Customers'!$A$2:$H$41,2,FALSE())</f>
        <v>Lauren Taylor</v>
      </c>
      <c r="I133" s="30" t="s">
        <v>11</v>
      </c>
      <c r="J133" s="33">
        <f>IFERROR((Sales[[#This Row],[Revenue]]-Sales[[#This Row],[Cost]])/Sales[[#This Row],[Revenue]],0)</f>
        <v>0.28851851851851851</v>
      </c>
      <c r="K133" s="33" t="str">
        <f>_xlfn.IFNA(_xlfn.XLOOKUP(Sales[[#This Row],[Customer ID]],Customers[Customer ID],Customers[Region]),"Not found")</f>
        <v>Midwest</v>
      </c>
      <c r="L133" s="34">
        <f>DATE(YEAR(Sales[[#This Row],[Date]]),MONTH(Sales[[#This Row],[Date]]),1)</f>
        <v>45778</v>
      </c>
      <c r="M133" s="24"/>
    </row>
    <row r="134" spans="1:13" ht="16.8" x14ac:dyDescent="0.4">
      <c r="A134" s="25" t="s">
        <v>187</v>
      </c>
      <c r="B134" s="26">
        <v>45788</v>
      </c>
      <c r="C134" s="25" t="s">
        <v>167</v>
      </c>
      <c r="D134" s="25" t="s">
        <v>10</v>
      </c>
      <c r="E134" s="25">
        <v>28</v>
      </c>
      <c r="F134" s="27">
        <f>E134*VLOOKUP(D134,Products!$A$2:$C$7,2,FALSE())</f>
        <v>23800</v>
      </c>
      <c r="G134" s="27">
        <v>17807</v>
      </c>
      <c r="H134" s="25" t="str">
        <f>VLOOKUP(C134,'Customers'!$A$2:$H$41,2,FALSE())</f>
        <v>Justin Walker</v>
      </c>
      <c r="I134" s="25" t="s">
        <v>15</v>
      </c>
      <c r="J134" s="28">
        <f>IFERROR((Sales[[#This Row],[Revenue]]-Sales[[#This Row],[Cost]])/Sales[[#This Row],[Revenue]],0)</f>
        <v>0.25180672268907561</v>
      </c>
      <c r="K134" s="28" t="str">
        <f>_xlfn.IFNA(_xlfn.XLOOKUP(Sales[[#This Row],[Customer ID]],Customers[Customer ID],Customers[Region]),"Not found")</f>
        <v>Northeast</v>
      </c>
      <c r="L134" s="29">
        <f>DATE(YEAR(Sales[[#This Row],[Date]]),MONTH(Sales[[#This Row],[Date]]),1)</f>
        <v>45778</v>
      </c>
      <c r="M134" s="24"/>
    </row>
    <row r="135" spans="1:13" ht="16.8" x14ac:dyDescent="0.4">
      <c r="A135" s="30" t="s">
        <v>188</v>
      </c>
      <c r="B135" s="31">
        <v>45792</v>
      </c>
      <c r="C135" s="30" t="s">
        <v>51</v>
      </c>
      <c r="D135" s="30" t="s">
        <v>24</v>
      </c>
      <c r="E135" s="30">
        <v>46</v>
      </c>
      <c r="F135" s="32">
        <f>E135*VLOOKUP(D135,Products!$A$2:$C$7,2,FALSE())</f>
        <v>20700</v>
      </c>
      <c r="G135" s="32">
        <v>14617</v>
      </c>
      <c r="H135" s="30" t="str">
        <f>VLOOKUP(C135,'Customers'!$A$2:$H$41,2,FALSE())</f>
        <v>Tyler Thompson</v>
      </c>
      <c r="I135" s="30" t="s">
        <v>15</v>
      </c>
      <c r="J135" s="33">
        <f>IFERROR((Sales[[#This Row],[Revenue]]-Sales[[#This Row],[Cost]])/Sales[[#This Row],[Revenue]],0)</f>
        <v>0.29386473429951693</v>
      </c>
      <c r="K135" s="33" t="str">
        <f>_xlfn.IFNA(_xlfn.XLOOKUP(Sales[[#This Row],[Customer ID]],Customers[Customer ID],Customers[Region]),"Not found")</f>
        <v>South</v>
      </c>
      <c r="L135" s="34">
        <f>DATE(YEAR(Sales[[#This Row],[Date]]),MONTH(Sales[[#This Row],[Date]]),1)</f>
        <v>45778</v>
      </c>
      <c r="M135" s="24"/>
    </row>
    <row r="136" spans="1:13" ht="16.8" x14ac:dyDescent="0.4">
      <c r="A136" s="25" t="s">
        <v>189</v>
      </c>
      <c r="B136" s="26">
        <v>45793</v>
      </c>
      <c r="C136" s="25" t="s">
        <v>167</v>
      </c>
      <c r="D136" s="25" t="s">
        <v>10</v>
      </c>
      <c r="E136" s="25">
        <v>10</v>
      </c>
      <c r="F136" s="27">
        <f>E136*VLOOKUP(D136,Products!$A$2:$C$7,2,FALSE())</f>
        <v>8500</v>
      </c>
      <c r="G136" s="27">
        <v>6438</v>
      </c>
      <c r="H136" s="25" t="str">
        <f>VLOOKUP(C136,'Customers'!$A$2:$H$41,2,FALSE())</f>
        <v>Justin Walker</v>
      </c>
      <c r="I136" s="25" t="s">
        <v>15</v>
      </c>
      <c r="J136" s="28">
        <f>IFERROR((Sales[[#This Row],[Revenue]]-Sales[[#This Row],[Cost]])/Sales[[#This Row],[Revenue]],0)</f>
        <v>0.24258823529411766</v>
      </c>
      <c r="K136" s="28" t="str">
        <f>_xlfn.IFNA(_xlfn.XLOOKUP(Sales[[#This Row],[Customer ID]],Customers[Customer ID],Customers[Region]),"Not found")</f>
        <v>Northeast</v>
      </c>
      <c r="L136" s="29">
        <f>DATE(YEAR(Sales[[#This Row],[Date]]),MONTH(Sales[[#This Row],[Date]]),1)</f>
        <v>45778</v>
      </c>
      <c r="M136" s="24"/>
    </row>
    <row r="137" spans="1:13" ht="16.8" x14ac:dyDescent="0.4">
      <c r="A137" s="30" t="s">
        <v>190</v>
      </c>
      <c r="B137" s="31">
        <v>45796</v>
      </c>
      <c r="C137" s="30" t="s">
        <v>122</v>
      </c>
      <c r="D137" s="30" t="s">
        <v>14</v>
      </c>
      <c r="E137" s="30">
        <v>21</v>
      </c>
      <c r="F137" s="32">
        <f>E137*VLOOKUP(D137,Products!$A$2:$C$7,2,FALSE())</f>
        <v>25200</v>
      </c>
      <c r="G137" s="32">
        <v>19209</v>
      </c>
      <c r="H137" s="30" t="str">
        <f>VLOOKUP(C137,'Customers'!$A$2:$H$41,2,FALSE())</f>
        <v>Jacob Lewis</v>
      </c>
      <c r="I137" s="30" t="s">
        <v>15</v>
      </c>
      <c r="J137" s="33">
        <f>IFERROR((Sales[[#This Row],[Revenue]]-Sales[[#This Row],[Cost]])/Sales[[#This Row],[Revenue]],0)</f>
        <v>0.23773809523809525</v>
      </c>
      <c r="K137" s="33" t="str">
        <f>_xlfn.IFNA(_xlfn.XLOOKUP(Sales[[#This Row],[Customer ID]],Customers[Customer ID],Customers[Region]),"Not found")</f>
        <v>West</v>
      </c>
      <c r="L137" s="34">
        <f>DATE(YEAR(Sales[[#This Row],[Date]]),MONTH(Sales[[#This Row],[Date]]),1)</f>
        <v>45778</v>
      </c>
      <c r="M137" s="24"/>
    </row>
    <row r="138" spans="1:13" ht="16.8" x14ac:dyDescent="0.4">
      <c r="A138" s="25" t="s">
        <v>108</v>
      </c>
      <c r="B138" s="26">
        <v>45531</v>
      </c>
      <c r="C138" s="25" t="s">
        <v>37</v>
      </c>
      <c r="D138" s="25" t="s">
        <v>18</v>
      </c>
      <c r="E138" s="25">
        <v>12</v>
      </c>
      <c r="F138" s="27">
        <f>E138*VLOOKUP(D138,Products!$A$2:$C$7,2,FALSE())</f>
        <v>114000</v>
      </c>
      <c r="G138" s="27">
        <v>89418</v>
      </c>
      <c r="H138" s="25" t="str">
        <f>VLOOKUP(C138,'Customers'!$A$2:$H$41,2,FALSE())</f>
        <v>Ethan Green</v>
      </c>
      <c r="I138" s="25" t="s">
        <v>15</v>
      </c>
      <c r="J138" s="28">
        <f>IFERROR((Sales[[#This Row],[Revenue]]-Sales[[#This Row],[Cost]])/Sales[[#This Row],[Revenue]],0)</f>
        <v>0.21563157894736842</v>
      </c>
      <c r="K138" s="28" t="str">
        <f>_xlfn.IFNA(_xlfn.XLOOKUP(Sales[[#This Row],[Customer ID]],Customers[Customer ID],Customers[Region]),"Not found")</f>
        <v>West</v>
      </c>
      <c r="L138" s="29">
        <f>DATE(YEAR(Sales[[#This Row],[Date]]),MONTH(Sales[[#This Row],[Date]]),1)</f>
        <v>45505</v>
      </c>
      <c r="M138" s="24"/>
    </row>
    <row r="139" spans="1:13" ht="16.8" x14ac:dyDescent="0.4">
      <c r="A139" s="30" t="s">
        <v>192</v>
      </c>
      <c r="B139" s="31">
        <v>45798</v>
      </c>
      <c r="C139" s="30" t="s">
        <v>42</v>
      </c>
      <c r="D139" s="30" t="s">
        <v>52</v>
      </c>
      <c r="E139" s="30">
        <v>9</v>
      </c>
      <c r="F139" s="32">
        <f>E139*VLOOKUP(D139,Products!$A$2:$C$7,2,FALSE())</f>
        <v>16200</v>
      </c>
      <c r="G139" s="32">
        <v>11752</v>
      </c>
      <c r="H139" s="30" t="str">
        <f>VLOOKUP(C139,'Customers'!$A$2:$H$41,2,FALSE())</f>
        <v>Daniel Miller</v>
      </c>
      <c r="I139" s="30" t="s">
        <v>11</v>
      </c>
      <c r="J139" s="33">
        <f>IFERROR((Sales[[#This Row],[Revenue]]-Sales[[#This Row],[Cost]])/Sales[[#This Row],[Revenue]],0)</f>
        <v>0.27456790123456792</v>
      </c>
      <c r="K139" s="33" t="str">
        <f>_xlfn.IFNA(_xlfn.XLOOKUP(Sales[[#This Row],[Customer ID]],Customers[Customer ID],Customers[Region]),"Not found")</f>
        <v>Midwest</v>
      </c>
      <c r="L139" s="34">
        <f>DATE(YEAR(Sales[[#This Row],[Date]]),MONTH(Sales[[#This Row],[Date]]),1)</f>
        <v>45778</v>
      </c>
      <c r="M139" s="24"/>
    </row>
    <row r="140" spans="1:13" ht="16.8" x14ac:dyDescent="0.4">
      <c r="A140" s="25" t="s">
        <v>92</v>
      </c>
      <c r="B140" s="26">
        <v>45483</v>
      </c>
      <c r="C140" s="25" t="s">
        <v>37</v>
      </c>
      <c r="D140" s="25" t="s">
        <v>18</v>
      </c>
      <c r="E140" s="25">
        <v>12</v>
      </c>
      <c r="F140" s="27">
        <f>E140*VLOOKUP(D140,Products!$A$2:$C$7,2,FALSE())</f>
        <v>114000</v>
      </c>
      <c r="G140" s="27">
        <v>89746</v>
      </c>
      <c r="H140" s="25" t="str">
        <f>VLOOKUP(C140,'Customers'!$A$2:$H$41,2,FALSE())</f>
        <v>Ethan Green</v>
      </c>
      <c r="I140" s="25" t="s">
        <v>15</v>
      </c>
      <c r="J140" s="28">
        <f>IFERROR((Sales[[#This Row],[Revenue]]-Sales[[#This Row],[Cost]])/Sales[[#This Row],[Revenue]],0)</f>
        <v>0.21275438596491228</v>
      </c>
      <c r="K140" s="28" t="str">
        <f>_xlfn.IFNA(_xlfn.XLOOKUP(Sales[[#This Row],[Customer ID]],Customers[Customer ID],Customers[Region]),"Not found")</f>
        <v>West</v>
      </c>
      <c r="L140" s="29">
        <f>DATE(YEAR(Sales[[#This Row],[Date]]),MONTH(Sales[[#This Row],[Date]]),1)</f>
        <v>45474</v>
      </c>
      <c r="M140" s="24"/>
    </row>
    <row r="141" spans="1:13" ht="16.8" x14ac:dyDescent="0.4">
      <c r="A141" s="30" t="s">
        <v>194</v>
      </c>
      <c r="B141" s="31">
        <v>45800</v>
      </c>
      <c r="C141" s="30" t="s">
        <v>58</v>
      </c>
      <c r="D141" s="30" t="s">
        <v>10</v>
      </c>
      <c r="E141" s="30">
        <v>8</v>
      </c>
      <c r="F141" s="32">
        <f>E141*VLOOKUP(D141,Products!$A$2:$C$7,2,FALSE())</f>
        <v>6800</v>
      </c>
      <c r="G141" s="32">
        <v>4920</v>
      </c>
      <c r="H141" s="30" t="str">
        <f>VLOOKUP(C141,'Customers'!$A$2:$H$41,2,FALSE())</f>
        <v>Stephanie Lee</v>
      </c>
      <c r="I141" s="30" t="s">
        <v>11</v>
      </c>
      <c r="J141" s="33">
        <f>IFERROR((Sales[[#This Row],[Revenue]]-Sales[[#This Row],[Cost]])/Sales[[#This Row],[Revenue]],0)</f>
        <v>0.27647058823529413</v>
      </c>
      <c r="K141" s="33" t="str">
        <f>_xlfn.IFNA(_xlfn.XLOOKUP(Sales[[#This Row],[Customer ID]],Customers[Customer ID],Customers[Region]),"Not found")</f>
        <v>Northeast</v>
      </c>
      <c r="L141" s="34">
        <f>DATE(YEAR(Sales[[#This Row],[Date]]),MONTH(Sales[[#This Row],[Date]]),1)</f>
        <v>45778</v>
      </c>
      <c r="M141" s="24"/>
    </row>
    <row r="142" spans="1:13" ht="16.8" x14ac:dyDescent="0.4">
      <c r="A142" s="25" t="s">
        <v>195</v>
      </c>
      <c r="B142" s="26">
        <v>45809</v>
      </c>
      <c r="C142" s="25" t="s">
        <v>117</v>
      </c>
      <c r="D142" s="25" t="s">
        <v>27</v>
      </c>
      <c r="E142" s="25">
        <v>31</v>
      </c>
      <c r="F142" s="27">
        <f>E142*VLOOKUP(D142,Products!$A$2:$C$7,2,FALSE())</f>
        <v>9300</v>
      </c>
      <c r="G142" s="27">
        <v>6759</v>
      </c>
      <c r="H142" s="25" t="str">
        <f>VLOOKUP(C142,'Customers'!$A$2:$H$41,2,FALSE())</f>
        <v>Amanda Martinez</v>
      </c>
      <c r="I142" s="25" t="s">
        <v>15</v>
      </c>
      <c r="J142" s="28">
        <f>IFERROR((Sales[[#This Row],[Revenue]]-Sales[[#This Row],[Cost]])/Sales[[#This Row],[Revenue]],0)</f>
        <v>0.27322580645161293</v>
      </c>
      <c r="K142" s="28" t="str">
        <f>_xlfn.IFNA(_xlfn.XLOOKUP(Sales[[#This Row],[Customer ID]],Customers[Customer ID],Customers[Region]),"Not found")</f>
        <v>West</v>
      </c>
      <c r="L142" s="29">
        <f>DATE(YEAR(Sales[[#This Row],[Date]]),MONTH(Sales[[#This Row],[Date]]),1)</f>
        <v>45809</v>
      </c>
      <c r="M142" s="24"/>
    </row>
    <row r="143" spans="1:13" ht="16.8" x14ac:dyDescent="0.4">
      <c r="A143" s="30" t="s">
        <v>196</v>
      </c>
      <c r="B143" s="31">
        <v>45810</v>
      </c>
      <c r="C143" s="30" t="s">
        <v>117</v>
      </c>
      <c r="D143" s="30" t="s">
        <v>27</v>
      </c>
      <c r="E143" s="30">
        <v>30</v>
      </c>
      <c r="F143" s="32">
        <f>E143*VLOOKUP(D143,Products!$A$2:$C$7,2,FALSE())</f>
        <v>9000</v>
      </c>
      <c r="G143" s="32">
        <v>6295</v>
      </c>
      <c r="H143" s="30" t="str">
        <f>VLOOKUP(C143,'Customers'!$A$2:$H$41,2,FALSE())</f>
        <v>Amanda Martinez</v>
      </c>
      <c r="I143" s="30" t="s">
        <v>15</v>
      </c>
      <c r="J143" s="33">
        <f>IFERROR((Sales[[#This Row],[Revenue]]-Sales[[#This Row],[Cost]])/Sales[[#This Row],[Revenue]],0)</f>
        <v>0.30055555555555558</v>
      </c>
      <c r="K143" s="33" t="str">
        <f>_xlfn.IFNA(_xlfn.XLOOKUP(Sales[[#This Row],[Customer ID]],Customers[Customer ID],Customers[Region]),"Not found")</f>
        <v>West</v>
      </c>
      <c r="L143" s="34">
        <f>DATE(YEAR(Sales[[#This Row],[Date]]),MONTH(Sales[[#This Row],[Date]]),1)</f>
        <v>45809</v>
      </c>
      <c r="M143" s="24"/>
    </row>
    <row r="144" spans="1:13" ht="16.8" x14ac:dyDescent="0.4">
      <c r="A144" s="25" t="s">
        <v>197</v>
      </c>
      <c r="B144" s="26">
        <v>45810</v>
      </c>
      <c r="C144" s="25" t="s">
        <v>112</v>
      </c>
      <c r="D144" s="25" t="s">
        <v>14</v>
      </c>
      <c r="E144" s="25">
        <v>33</v>
      </c>
      <c r="F144" s="27">
        <f>E144*VLOOKUP(D144,Products!$A$2:$C$7,2,FALSE())</f>
        <v>39600</v>
      </c>
      <c r="G144" s="27">
        <v>30405</v>
      </c>
      <c r="H144" s="25" t="str">
        <f>VLOOKUP(C144,'Customers'!$A$2:$H$41,2,FALSE())</f>
        <v>Samantha Robinson</v>
      </c>
      <c r="I144" s="25" t="s">
        <v>15</v>
      </c>
      <c r="J144" s="28">
        <f>IFERROR((Sales[[#This Row],[Revenue]]-Sales[[#This Row],[Cost]])/Sales[[#This Row],[Revenue]],0)</f>
        <v>0.23219696969696971</v>
      </c>
      <c r="K144" s="28" t="str">
        <f>_xlfn.IFNA(_xlfn.XLOOKUP(Sales[[#This Row],[Customer ID]],Customers[Customer ID],Customers[Region]),"Not found")</f>
        <v>Northeast</v>
      </c>
      <c r="L144" s="29">
        <f>DATE(YEAR(Sales[[#This Row],[Date]]),MONTH(Sales[[#This Row],[Date]]),1)</f>
        <v>45809</v>
      </c>
      <c r="M144" s="24"/>
    </row>
    <row r="145" spans="1:13" ht="16.8" x14ac:dyDescent="0.4">
      <c r="A145" s="30" t="s">
        <v>198</v>
      </c>
      <c r="B145" s="31">
        <v>45814</v>
      </c>
      <c r="C145" s="30" t="s">
        <v>85</v>
      </c>
      <c r="D145" s="30" t="s">
        <v>14</v>
      </c>
      <c r="E145" s="30">
        <v>31</v>
      </c>
      <c r="F145" s="32">
        <f>E145*VLOOKUP(D145,Products!$A$2:$C$7,2,FALSE())</f>
        <v>37200</v>
      </c>
      <c r="G145" s="32">
        <v>27888</v>
      </c>
      <c r="H145" s="30" t="str">
        <f>VLOOKUP(C145,'Customers'!$A$2:$H$41,2,FALSE())</f>
        <v>Brittany Scott</v>
      </c>
      <c r="I145" s="30" t="s">
        <v>15</v>
      </c>
      <c r="J145" s="33">
        <f>IFERROR((Sales[[#This Row],[Revenue]]-Sales[[#This Row],[Cost]])/Sales[[#This Row],[Revenue]],0)</f>
        <v>0.25032258064516127</v>
      </c>
      <c r="K145" s="33" t="str">
        <f>_xlfn.IFNA(_xlfn.XLOOKUP(Sales[[#This Row],[Customer ID]],Customers[Customer ID],Customers[Region]),"Not found")</f>
        <v>West</v>
      </c>
      <c r="L145" s="34">
        <f>DATE(YEAR(Sales[[#This Row],[Date]]),MONTH(Sales[[#This Row],[Date]]),1)</f>
        <v>45809</v>
      </c>
      <c r="M145" s="24"/>
    </row>
    <row r="146" spans="1:13" ht="16.8" x14ac:dyDescent="0.4">
      <c r="A146" s="25" t="s">
        <v>90</v>
      </c>
      <c r="B146" s="26">
        <v>45481</v>
      </c>
      <c r="C146" s="25" t="s">
        <v>42</v>
      </c>
      <c r="D146" s="25" t="s">
        <v>18</v>
      </c>
      <c r="E146" s="25">
        <v>12</v>
      </c>
      <c r="F146" s="27">
        <f>E146*VLOOKUP(D146,Products!$A$2:$C$7,2,FALSE())</f>
        <v>114000</v>
      </c>
      <c r="G146" s="27">
        <v>83278</v>
      </c>
      <c r="H146" s="25" t="str">
        <f>VLOOKUP(C146,'Customers'!$A$2:$H$41,2,FALSE())</f>
        <v>Daniel Miller</v>
      </c>
      <c r="I146" s="25" t="s">
        <v>11</v>
      </c>
      <c r="J146" s="28">
        <f>IFERROR((Sales[[#This Row],[Revenue]]-Sales[[#This Row],[Cost]])/Sales[[#This Row],[Revenue]],0)</f>
        <v>0.26949122807017545</v>
      </c>
      <c r="K146" s="28" t="str">
        <f>_xlfn.IFNA(_xlfn.XLOOKUP(Sales[[#This Row],[Customer ID]],Customers[Customer ID],Customers[Region]),"Not found")</f>
        <v>Midwest</v>
      </c>
      <c r="L146" s="29">
        <f>DATE(YEAR(Sales[[#This Row],[Date]]),MONTH(Sales[[#This Row],[Date]]),1)</f>
        <v>45474</v>
      </c>
      <c r="M146" s="24"/>
    </row>
    <row r="147" spans="1:13" ht="16.8" x14ac:dyDescent="0.4">
      <c r="A147" s="30" t="s">
        <v>200</v>
      </c>
      <c r="B147" s="31">
        <v>45819</v>
      </c>
      <c r="C147" s="30" t="s">
        <v>201</v>
      </c>
      <c r="D147" s="30" t="s">
        <v>10</v>
      </c>
      <c r="E147" s="30">
        <v>10</v>
      </c>
      <c r="F147" s="32">
        <f>E147*VLOOKUP(D147,Products!$A$2:$C$7,2,FALSE())</f>
        <v>8500</v>
      </c>
      <c r="G147" s="32">
        <v>6524</v>
      </c>
      <c r="H147" s="30" t="str">
        <f>VLOOKUP(C147,'Customers'!$A$2:$H$41,2,FALSE())</f>
        <v>Ashley Davis</v>
      </c>
      <c r="I147" s="30" t="s">
        <v>15</v>
      </c>
      <c r="J147" s="33">
        <f>IFERROR((Sales[[#This Row],[Revenue]]-Sales[[#This Row],[Cost]])/Sales[[#This Row],[Revenue]],0)</f>
        <v>0.23247058823529412</v>
      </c>
      <c r="K147" s="33" t="str">
        <f>_xlfn.IFNA(_xlfn.XLOOKUP(Sales[[#This Row],[Customer ID]],Customers[Customer ID],Customers[Region]),"Not found")</f>
        <v>West</v>
      </c>
      <c r="L147" s="34">
        <f>DATE(YEAR(Sales[[#This Row],[Date]]),MONTH(Sales[[#This Row],[Date]]),1)</f>
        <v>45809</v>
      </c>
      <c r="M147" s="24"/>
    </row>
    <row r="148" spans="1:13" ht="16.8" x14ac:dyDescent="0.4">
      <c r="A148" s="25" t="s">
        <v>87</v>
      </c>
      <c r="B148" s="26">
        <v>45468</v>
      </c>
      <c r="C148" s="25" t="s">
        <v>88</v>
      </c>
      <c r="D148" s="25" t="s">
        <v>14</v>
      </c>
      <c r="E148" s="25">
        <v>53</v>
      </c>
      <c r="F148" s="27">
        <f>E148*VLOOKUP(D148,Products!$A$2:$C$7,2,FALSE())</f>
        <v>63600</v>
      </c>
      <c r="G148" s="27">
        <v>48710</v>
      </c>
      <c r="H148" s="25" t="str">
        <f>VLOOKUP(C148,'Customers'!$A$2:$H$41,2,FALSE())</f>
        <v>Rachel Jackson</v>
      </c>
      <c r="I148" s="25" t="s">
        <v>15</v>
      </c>
      <c r="J148" s="28">
        <f>IFERROR((Sales[[#This Row],[Revenue]]-Sales[[#This Row],[Cost]])/Sales[[#This Row],[Revenue]],0)</f>
        <v>0.23411949685534592</v>
      </c>
      <c r="K148" s="28" t="str">
        <f>_xlfn.IFNA(_xlfn.XLOOKUP(Sales[[#This Row],[Customer ID]],Customers[Customer ID],Customers[Region]),"Not found")</f>
        <v>West</v>
      </c>
      <c r="L148" s="29">
        <f>DATE(YEAR(Sales[[#This Row],[Date]]),MONTH(Sales[[#This Row],[Date]]),1)</f>
        <v>45444</v>
      </c>
      <c r="M148" s="24"/>
    </row>
    <row r="149" spans="1:13" ht="16.8" x14ac:dyDescent="0.4">
      <c r="A149" s="30" t="s">
        <v>203</v>
      </c>
      <c r="B149" s="31">
        <v>45832</v>
      </c>
      <c r="C149" s="30" t="s">
        <v>122</v>
      </c>
      <c r="D149" s="30" t="s">
        <v>24</v>
      </c>
      <c r="E149" s="30">
        <v>58</v>
      </c>
      <c r="F149" s="32">
        <f>E149*VLOOKUP(D149,Products!$A$2:$C$7,2,FALSE())</f>
        <v>26100</v>
      </c>
      <c r="G149" s="32">
        <v>18557</v>
      </c>
      <c r="H149" s="30" t="str">
        <f>VLOOKUP(C149,'Customers'!$A$2:$H$41,2,FALSE())</f>
        <v>Jacob Lewis</v>
      </c>
      <c r="I149" s="30" t="s">
        <v>15</v>
      </c>
      <c r="J149" s="33">
        <f>IFERROR((Sales[[#This Row],[Revenue]]-Sales[[#This Row],[Cost]])/Sales[[#This Row],[Revenue]],0)</f>
        <v>0.28900383141762453</v>
      </c>
      <c r="K149" s="33" t="str">
        <f>_xlfn.IFNA(_xlfn.XLOOKUP(Sales[[#This Row],[Customer ID]],Customers[Customer ID],Customers[Region]),"Not found")</f>
        <v>West</v>
      </c>
      <c r="L149" s="34">
        <f>DATE(YEAR(Sales[[#This Row],[Date]]),MONTH(Sales[[#This Row],[Date]]),1)</f>
        <v>45809</v>
      </c>
      <c r="M149" s="24"/>
    </row>
    <row r="150" spans="1:13" ht="16.8" x14ac:dyDescent="0.4">
      <c r="A150" s="25" t="s">
        <v>204</v>
      </c>
      <c r="B150" s="26">
        <v>45841</v>
      </c>
      <c r="C150" s="25" t="s">
        <v>167</v>
      </c>
      <c r="D150" s="25" t="s">
        <v>24</v>
      </c>
      <c r="E150" s="25">
        <v>12</v>
      </c>
      <c r="F150" s="27">
        <f>E150*VLOOKUP(D150,Products!$A$2:$C$7,2,FALSE())</f>
        <v>5400</v>
      </c>
      <c r="G150" s="27">
        <v>3882</v>
      </c>
      <c r="H150" s="25" t="str">
        <f>VLOOKUP(C150,'Customers'!$A$2:$H$41,2,FALSE())</f>
        <v>Justin Walker</v>
      </c>
      <c r="I150" s="25" t="s">
        <v>15</v>
      </c>
      <c r="J150" s="28">
        <f>IFERROR((Sales[[#This Row],[Revenue]]-Sales[[#This Row],[Cost]])/Sales[[#This Row],[Revenue]],0)</f>
        <v>0.28111111111111109</v>
      </c>
      <c r="K150" s="28" t="str">
        <f>_xlfn.IFNA(_xlfn.XLOOKUP(Sales[[#This Row],[Customer ID]],Customers[Customer ID],Customers[Region]),"Not found")</f>
        <v>Northeast</v>
      </c>
      <c r="L150" s="29">
        <f>DATE(YEAR(Sales[[#This Row],[Date]]),MONTH(Sales[[#This Row],[Date]]),1)</f>
        <v>45839</v>
      </c>
      <c r="M150" s="24"/>
    </row>
    <row r="151" spans="1:13" ht="16.8" x14ac:dyDescent="0.4">
      <c r="A151" s="30" t="s">
        <v>205</v>
      </c>
      <c r="B151" s="31">
        <v>45841</v>
      </c>
      <c r="C151" s="30" t="s">
        <v>22</v>
      </c>
      <c r="D151" s="30" t="s">
        <v>27</v>
      </c>
      <c r="E151" s="30">
        <v>28</v>
      </c>
      <c r="F151" s="32">
        <f>E151*VLOOKUP(D151,Products!$A$2:$C$7,2,FALSE())</f>
        <v>8400</v>
      </c>
      <c r="G151" s="32">
        <v>6015</v>
      </c>
      <c r="H151" s="30" t="str">
        <f>VLOOKUP(C151,'Customers'!$A$2:$H$41,2,FALSE())</f>
        <v>Nicole White</v>
      </c>
      <c r="I151" s="30" t="s">
        <v>15</v>
      </c>
      <c r="J151" s="33">
        <f>IFERROR((Sales[[#This Row],[Revenue]]-Sales[[#This Row],[Cost]])/Sales[[#This Row],[Revenue]],0)</f>
        <v>0.28392857142857142</v>
      </c>
      <c r="K151" s="33" t="str">
        <f>_xlfn.IFNA(_xlfn.XLOOKUP(Sales[[#This Row],[Customer ID]],Customers[Customer ID],Customers[Region]),"Not found")</f>
        <v>West</v>
      </c>
      <c r="L151" s="34">
        <f>DATE(YEAR(Sales[[#This Row],[Date]]),MONTH(Sales[[#This Row],[Date]]),1)</f>
        <v>45839</v>
      </c>
      <c r="M151" s="24"/>
    </row>
    <row r="152" spans="1:13" ht="16.8" x14ac:dyDescent="0.4">
      <c r="A152" s="25" t="s">
        <v>206</v>
      </c>
      <c r="B152" s="26">
        <v>45845</v>
      </c>
      <c r="C152" s="25" t="s">
        <v>39</v>
      </c>
      <c r="D152" s="25" t="s">
        <v>24</v>
      </c>
      <c r="E152" s="25">
        <v>33</v>
      </c>
      <c r="F152" s="27">
        <f>E152*VLOOKUP(D152,Products!$A$2:$C$7,2,FALSE())</f>
        <v>14850</v>
      </c>
      <c r="G152" s="27">
        <v>10802</v>
      </c>
      <c r="H152" s="25" t="str">
        <f>VLOOKUP(C152,'Customers'!$A$2:$H$41,2,FALSE())</f>
        <v>Aaron Adams</v>
      </c>
      <c r="I152" s="25" t="s">
        <v>15</v>
      </c>
      <c r="J152" s="28">
        <f>IFERROR((Sales[[#This Row],[Revenue]]-Sales[[#This Row],[Cost]])/Sales[[#This Row],[Revenue]],0)</f>
        <v>0.27259259259259261</v>
      </c>
      <c r="K152" s="28" t="str">
        <f>_xlfn.IFNA(_xlfn.XLOOKUP(Sales[[#This Row],[Customer ID]],Customers[Customer ID],Customers[Region]),"Not found")</f>
        <v>Northeast</v>
      </c>
      <c r="L152" s="29">
        <f>DATE(YEAR(Sales[[#This Row],[Date]]),MONTH(Sales[[#This Row],[Date]]),1)</f>
        <v>45839</v>
      </c>
      <c r="M152" s="24"/>
    </row>
    <row r="153" spans="1:13" ht="16.8" x14ac:dyDescent="0.4">
      <c r="A153" s="30" t="s">
        <v>207</v>
      </c>
      <c r="B153" s="31">
        <v>45846</v>
      </c>
      <c r="C153" s="30" t="s">
        <v>112</v>
      </c>
      <c r="D153" s="30" t="s">
        <v>10</v>
      </c>
      <c r="E153" s="30">
        <v>7</v>
      </c>
      <c r="F153" s="32">
        <f>E153*VLOOKUP(D153,Products!$A$2:$C$7,2,FALSE())</f>
        <v>5950</v>
      </c>
      <c r="G153" s="32">
        <v>4359</v>
      </c>
      <c r="H153" s="30" t="str">
        <f>VLOOKUP(C153,'Customers'!$A$2:$H$41,2,FALSE())</f>
        <v>Samantha Robinson</v>
      </c>
      <c r="I153" s="30" t="s">
        <v>15</v>
      </c>
      <c r="J153" s="33">
        <f>IFERROR((Sales[[#This Row],[Revenue]]-Sales[[#This Row],[Cost]])/Sales[[#This Row],[Revenue]],0)</f>
        <v>0.26739495798319329</v>
      </c>
      <c r="K153" s="33" t="str">
        <f>_xlfn.IFNA(_xlfn.XLOOKUP(Sales[[#This Row],[Customer ID]],Customers[Customer ID],Customers[Region]),"Not found")</f>
        <v>Northeast</v>
      </c>
      <c r="L153" s="34">
        <f>DATE(YEAR(Sales[[#This Row],[Date]]),MONTH(Sales[[#This Row],[Date]]),1)</f>
        <v>45839</v>
      </c>
      <c r="M153" s="24"/>
    </row>
    <row r="154" spans="1:13" ht="16.8" x14ac:dyDescent="0.4">
      <c r="A154" s="25" t="s">
        <v>208</v>
      </c>
      <c r="B154" s="26">
        <v>45848</v>
      </c>
      <c r="C154" s="25" t="s">
        <v>29</v>
      </c>
      <c r="D154" s="25" t="s">
        <v>18</v>
      </c>
      <c r="E154" s="25">
        <v>2</v>
      </c>
      <c r="F154" s="27">
        <f>E154*VLOOKUP(D154,Products!$A$2:$C$7,2,FALSE())</f>
        <v>19000</v>
      </c>
      <c r="G154" s="27">
        <v>14279</v>
      </c>
      <c r="H154" s="25" t="str">
        <f>VLOOKUP(C154,'Customers'!$A$2:$H$41,2,FALSE())</f>
        <v>Jessica Garcia</v>
      </c>
      <c r="I154" s="25" t="s">
        <v>11</v>
      </c>
      <c r="J154" s="28">
        <f>IFERROR((Sales[[#This Row],[Revenue]]-Sales[[#This Row],[Cost]])/Sales[[#This Row],[Revenue]],0)</f>
        <v>0.24847368421052632</v>
      </c>
      <c r="K154" s="28" t="str">
        <f>_xlfn.IFNA(_xlfn.XLOOKUP(Sales[[#This Row],[Customer ID]],Customers[Customer ID],Customers[Region]),"Not found")</f>
        <v>South</v>
      </c>
      <c r="L154" s="29">
        <f>DATE(YEAR(Sales[[#This Row],[Date]]),MONTH(Sales[[#This Row],[Date]]),1)</f>
        <v>45839</v>
      </c>
      <c r="M154" s="24"/>
    </row>
    <row r="155" spans="1:13" ht="16.8" x14ac:dyDescent="0.4">
      <c r="A155" s="30" t="s">
        <v>209</v>
      </c>
      <c r="B155" s="31">
        <v>45850</v>
      </c>
      <c r="C155" s="30" t="s">
        <v>13</v>
      </c>
      <c r="D155" s="30" t="s">
        <v>10</v>
      </c>
      <c r="E155" s="30">
        <v>6</v>
      </c>
      <c r="F155" s="32">
        <f>E155*VLOOKUP(D155,Products!$A$2:$C$7,2,FALSE())</f>
        <v>5100</v>
      </c>
      <c r="G155" s="32">
        <v>3655</v>
      </c>
      <c r="H155" s="30" t="str">
        <f>VLOOKUP(C155,'Customers'!$A$2:$H$41,2,FALSE())</f>
        <v>Zachary Wright</v>
      </c>
      <c r="I155" s="30" t="s">
        <v>11</v>
      </c>
      <c r="J155" s="33">
        <f>IFERROR((Sales[[#This Row],[Revenue]]-Sales[[#This Row],[Cost]])/Sales[[#This Row],[Revenue]],0)</f>
        <v>0.28333333333333333</v>
      </c>
      <c r="K155" s="33" t="str">
        <f>_xlfn.IFNA(_xlfn.XLOOKUP(Sales[[#This Row],[Customer ID]],Customers[Customer ID],Customers[Region]),"Not found")</f>
        <v>Northeast</v>
      </c>
      <c r="L155" s="34">
        <f>DATE(YEAR(Sales[[#This Row],[Date]]),MONTH(Sales[[#This Row],[Date]]),1)</f>
        <v>45839</v>
      </c>
      <c r="M155" s="24"/>
    </row>
    <row r="156" spans="1:13" ht="16.8" x14ac:dyDescent="0.4">
      <c r="A156" s="25" t="s">
        <v>210</v>
      </c>
      <c r="B156" s="26">
        <v>45853</v>
      </c>
      <c r="C156" s="25" t="s">
        <v>42</v>
      </c>
      <c r="D156" s="25" t="s">
        <v>14</v>
      </c>
      <c r="E156" s="25">
        <v>5</v>
      </c>
      <c r="F156" s="27">
        <f>E156*VLOOKUP(D156,Products!$A$2:$C$7,2,FALSE())</f>
        <v>6000</v>
      </c>
      <c r="G156" s="27">
        <v>4329</v>
      </c>
      <c r="H156" s="25" t="str">
        <f>VLOOKUP(C156,'Customers'!$A$2:$H$41,2,FALSE())</f>
        <v>Daniel Miller</v>
      </c>
      <c r="I156" s="25" t="s">
        <v>15</v>
      </c>
      <c r="J156" s="28">
        <f>IFERROR((Sales[[#This Row],[Revenue]]-Sales[[#This Row],[Cost]])/Sales[[#This Row],[Revenue]],0)</f>
        <v>0.27850000000000003</v>
      </c>
      <c r="K156" s="28" t="str">
        <f>_xlfn.IFNA(_xlfn.XLOOKUP(Sales[[#This Row],[Customer ID]],Customers[Customer ID],Customers[Region]),"Not found")</f>
        <v>Midwest</v>
      </c>
      <c r="L156" s="29">
        <f>DATE(YEAR(Sales[[#This Row],[Date]]),MONTH(Sales[[#This Row],[Date]]),1)</f>
        <v>45839</v>
      </c>
      <c r="M156" s="24"/>
    </row>
    <row r="157" spans="1:13" ht="16.8" x14ac:dyDescent="0.4">
      <c r="A157" s="30" t="s">
        <v>211</v>
      </c>
      <c r="B157" s="31">
        <v>45853</v>
      </c>
      <c r="C157" s="30" t="s">
        <v>133</v>
      </c>
      <c r="D157" s="30" t="s">
        <v>52</v>
      </c>
      <c r="E157" s="30">
        <v>21</v>
      </c>
      <c r="F157" s="32">
        <f>E157*VLOOKUP(D157,Products!$A$2:$C$7,2,FALSE())</f>
        <v>37800</v>
      </c>
      <c r="G157" s="32">
        <v>27813</v>
      </c>
      <c r="H157" s="30" t="str">
        <f>VLOOKUP(C157,'Customers'!$A$2:$H$41,2,FALSE())</f>
        <v>Sarah Brown</v>
      </c>
      <c r="I157" s="30" t="s">
        <v>47</v>
      </c>
      <c r="J157" s="33">
        <f>IFERROR((Sales[[#This Row],[Revenue]]-Sales[[#This Row],[Cost]])/Sales[[#This Row],[Revenue]],0)</f>
        <v>0.26420634920634922</v>
      </c>
      <c r="K157" s="33" t="str">
        <f>_xlfn.IFNA(_xlfn.XLOOKUP(Sales[[#This Row],[Customer ID]],Customers[Customer ID],Customers[Region]),"Not found")</f>
        <v>West</v>
      </c>
      <c r="L157" s="34">
        <f>DATE(YEAR(Sales[[#This Row],[Date]]),MONTH(Sales[[#This Row],[Date]]),1)</f>
        <v>45839</v>
      </c>
      <c r="M157" s="24"/>
    </row>
    <row r="158" spans="1:13" ht="16.8" x14ac:dyDescent="0.4">
      <c r="A158" s="25" t="s">
        <v>212</v>
      </c>
      <c r="B158" s="26">
        <v>45863</v>
      </c>
      <c r="C158" s="25" t="s">
        <v>122</v>
      </c>
      <c r="D158" s="25" t="s">
        <v>14</v>
      </c>
      <c r="E158" s="25">
        <v>27</v>
      </c>
      <c r="F158" s="27">
        <f>E158*VLOOKUP(D158,Products!$A$2:$C$7,2,FALSE())</f>
        <v>32400</v>
      </c>
      <c r="G158" s="27">
        <v>24302</v>
      </c>
      <c r="H158" s="25" t="str">
        <f>VLOOKUP(C158,'Customers'!$A$2:$H$41,2,FALSE())</f>
        <v>Jacob Lewis</v>
      </c>
      <c r="I158" s="25" t="s">
        <v>15</v>
      </c>
      <c r="J158" s="28">
        <f>IFERROR((Sales[[#This Row],[Revenue]]-Sales[[#This Row],[Cost]])/Sales[[#This Row],[Revenue]],0)</f>
        <v>0.24993827160493828</v>
      </c>
      <c r="K158" s="28" t="str">
        <f>_xlfn.IFNA(_xlfn.XLOOKUP(Sales[[#This Row],[Customer ID]],Customers[Customer ID],Customers[Region]),"Not found")</f>
        <v>West</v>
      </c>
      <c r="L158" s="29">
        <f>DATE(YEAR(Sales[[#This Row],[Date]]),MONTH(Sales[[#This Row],[Date]]),1)</f>
        <v>45839</v>
      </c>
      <c r="M158" s="24"/>
    </row>
    <row r="159" spans="1:13" ht="16.8" x14ac:dyDescent="0.4">
      <c r="A159" s="30" t="s">
        <v>213</v>
      </c>
      <c r="B159" s="31">
        <v>45871</v>
      </c>
      <c r="C159" s="30" t="s">
        <v>51</v>
      </c>
      <c r="D159" s="30" t="s">
        <v>24</v>
      </c>
      <c r="E159" s="30">
        <v>22</v>
      </c>
      <c r="F159" s="32">
        <f>E159*VLOOKUP(D159,Products!$A$2:$C$7,2,FALSE())</f>
        <v>9900</v>
      </c>
      <c r="G159" s="32">
        <v>7256</v>
      </c>
      <c r="H159" s="30" t="str">
        <f>VLOOKUP(C159,'Customers'!$A$2:$H$41,2,FALSE())</f>
        <v>Tyler Thompson</v>
      </c>
      <c r="I159" s="30" t="s">
        <v>15</v>
      </c>
      <c r="J159" s="33">
        <f>IFERROR((Sales[[#This Row],[Revenue]]-Sales[[#This Row],[Cost]])/Sales[[#This Row],[Revenue]],0)</f>
        <v>0.26707070707070707</v>
      </c>
      <c r="K159" s="33" t="str">
        <f>_xlfn.IFNA(_xlfn.XLOOKUP(Sales[[#This Row],[Customer ID]],Customers[Customer ID],Customers[Region]),"Not found")</f>
        <v>South</v>
      </c>
      <c r="L159" s="34">
        <f>DATE(YEAR(Sales[[#This Row],[Date]]),MONTH(Sales[[#This Row],[Date]]),1)</f>
        <v>45870</v>
      </c>
      <c r="M159" s="24"/>
    </row>
    <row r="160" spans="1:13" ht="16.8" x14ac:dyDescent="0.4">
      <c r="A160" s="25" t="s">
        <v>83</v>
      </c>
      <c r="B160" s="26">
        <v>45458</v>
      </c>
      <c r="C160" s="25" t="s">
        <v>22</v>
      </c>
      <c r="D160" s="25" t="s">
        <v>52</v>
      </c>
      <c r="E160" s="25">
        <v>40</v>
      </c>
      <c r="F160" s="27">
        <f>E160*VLOOKUP(D160,Products!$A$2:$C$7,2,FALSE())</f>
        <v>72000</v>
      </c>
      <c r="G160" s="27">
        <v>53543</v>
      </c>
      <c r="H160" s="25" t="str">
        <f>VLOOKUP(C160,'Customers'!$A$2:$H$41,2,FALSE())</f>
        <v>Nicole White</v>
      </c>
      <c r="I160" s="25" t="s">
        <v>11</v>
      </c>
      <c r="J160" s="28">
        <f>IFERROR((Sales[[#This Row],[Revenue]]-Sales[[#This Row],[Cost]])/Sales[[#This Row],[Revenue]],0)</f>
        <v>0.25634722222222223</v>
      </c>
      <c r="K160" s="28" t="str">
        <f>_xlfn.IFNA(_xlfn.XLOOKUP(Sales[[#This Row],[Customer ID]],Customers[Customer ID],Customers[Region]),"Not found")</f>
        <v>West</v>
      </c>
      <c r="L160" s="29">
        <f>DATE(YEAR(Sales[[#This Row],[Date]]),MONTH(Sales[[#This Row],[Date]]),1)</f>
        <v>45444</v>
      </c>
      <c r="M160" s="24"/>
    </row>
    <row r="161" spans="1:13" ht="16.8" x14ac:dyDescent="0.4">
      <c r="A161" s="30" t="s">
        <v>78</v>
      </c>
      <c r="B161" s="31">
        <v>45452</v>
      </c>
      <c r="C161" s="30" t="s">
        <v>79</v>
      </c>
      <c r="D161" s="30" t="s">
        <v>52</v>
      </c>
      <c r="E161" s="30">
        <v>32</v>
      </c>
      <c r="F161" s="32">
        <f>E161*VLOOKUP(D161,Products!$A$2:$C$7,2,FALSE())</f>
        <v>57600</v>
      </c>
      <c r="G161" s="32">
        <v>43391</v>
      </c>
      <c r="H161" s="30" t="str">
        <f>VLOOKUP(C161,'Customers'!$A$2:$H$41,2,FALSE())</f>
        <v>Jennifer Lopez</v>
      </c>
      <c r="I161" s="30" t="s">
        <v>15</v>
      </c>
      <c r="J161" s="33">
        <f>IFERROR((Sales[[#This Row],[Revenue]]-Sales[[#This Row],[Cost]])/Sales[[#This Row],[Revenue]],0)</f>
        <v>0.24668402777777779</v>
      </c>
      <c r="K161" s="33" t="str">
        <f>_xlfn.IFNA(_xlfn.XLOOKUP(Sales[[#This Row],[Customer ID]],Customers[Customer ID],Customers[Region]),"Not found")</f>
        <v>South</v>
      </c>
      <c r="L161" s="34">
        <f>DATE(YEAR(Sales[[#This Row],[Date]]),MONTH(Sales[[#This Row],[Date]]),1)</f>
        <v>45444</v>
      </c>
      <c r="M161" s="24"/>
    </row>
    <row r="162" spans="1:13" ht="16.8" x14ac:dyDescent="0.4">
      <c r="A162" s="25" t="s">
        <v>216</v>
      </c>
      <c r="B162" s="26">
        <v>45874</v>
      </c>
      <c r="C162" s="25" t="s">
        <v>131</v>
      </c>
      <c r="D162" s="25" t="s">
        <v>27</v>
      </c>
      <c r="E162" s="25">
        <v>25</v>
      </c>
      <c r="F162" s="27">
        <f>E162*VLOOKUP(D162,Products!$A$2:$C$7,2,FALSE())</f>
        <v>7500</v>
      </c>
      <c r="G162" s="27">
        <v>5311</v>
      </c>
      <c r="H162" s="25" t="str">
        <f>VLOOKUP(C162,'Customers'!$A$2:$H$41,2,FALSE())</f>
        <v>Lauren Taylor</v>
      </c>
      <c r="I162" s="25" t="s">
        <v>15</v>
      </c>
      <c r="J162" s="28">
        <f>IFERROR((Sales[[#This Row],[Revenue]]-Sales[[#This Row],[Cost]])/Sales[[#This Row],[Revenue]],0)</f>
        <v>0.29186666666666666</v>
      </c>
      <c r="K162" s="28" t="str">
        <f>_xlfn.IFNA(_xlfn.XLOOKUP(Sales[[#This Row],[Customer ID]],Customers[Customer ID],Customers[Region]),"Not found")</f>
        <v>Midwest</v>
      </c>
      <c r="L162" s="29">
        <f>DATE(YEAR(Sales[[#This Row],[Date]]),MONTH(Sales[[#This Row],[Date]]),1)</f>
        <v>45870</v>
      </c>
      <c r="M162" s="24"/>
    </row>
    <row r="163" spans="1:13" ht="16.8" x14ac:dyDescent="0.4">
      <c r="A163" s="30" t="s">
        <v>80</v>
      </c>
      <c r="B163" s="31">
        <v>45452</v>
      </c>
      <c r="C163" s="30" t="s">
        <v>29</v>
      </c>
      <c r="D163" s="30" t="s">
        <v>52</v>
      </c>
      <c r="E163" s="30">
        <v>56</v>
      </c>
      <c r="F163" s="32">
        <f>E163*VLOOKUP(D163,Products!$A$2:$C$7,2,FALSE())</f>
        <v>100800</v>
      </c>
      <c r="G163" s="32">
        <v>77914</v>
      </c>
      <c r="H163" s="30" t="str">
        <f>VLOOKUP(C163,'Customers'!$A$2:$H$41,2,FALSE())</f>
        <v>Jessica Garcia</v>
      </c>
      <c r="I163" s="30" t="s">
        <v>15</v>
      </c>
      <c r="J163" s="33">
        <f>IFERROR((Sales[[#This Row],[Revenue]]-Sales[[#This Row],[Cost]])/Sales[[#This Row],[Revenue]],0)</f>
        <v>0.2270436507936508</v>
      </c>
      <c r="K163" s="33" t="str">
        <f>_xlfn.IFNA(_xlfn.XLOOKUP(Sales[[#This Row],[Customer ID]],Customers[Customer ID],Customers[Region]),"Not found")</f>
        <v>South</v>
      </c>
      <c r="L163" s="34">
        <f>DATE(YEAR(Sales[[#This Row],[Date]]),MONTH(Sales[[#This Row],[Date]]),1)</f>
        <v>45444</v>
      </c>
      <c r="M163" s="24"/>
    </row>
    <row r="164" spans="1:13" ht="16.8" x14ac:dyDescent="0.4">
      <c r="A164" s="25" t="s">
        <v>218</v>
      </c>
      <c r="B164" s="26">
        <v>45882</v>
      </c>
      <c r="C164" s="25" t="s">
        <v>131</v>
      </c>
      <c r="D164" s="25" t="s">
        <v>14</v>
      </c>
      <c r="E164" s="25">
        <v>31</v>
      </c>
      <c r="F164" s="27">
        <f>E164*VLOOKUP(D164,Products!$A$2:$C$7,2,FALSE())</f>
        <v>37200</v>
      </c>
      <c r="G164" s="27">
        <v>28666</v>
      </c>
      <c r="H164" s="25" t="str">
        <f>VLOOKUP(C164,'Customers'!$A$2:$H$41,2,FALSE())</f>
        <v>Lauren Taylor</v>
      </c>
      <c r="I164" s="25" t="s">
        <v>15</v>
      </c>
      <c r="J164" s="28">
        <f>IFERROR((Sales[[#This Row],[Revenue]]-Sales[[#This Row],[Cost]])/Sales[[#This Row],[Revenue]],0)</f>
        <v>0.22940860215053763</v>
      </c>
      <c r="K164" s="28" t="str">
        <f>_xlfn.IFNA(_xlfn.XLOOKUP(Sales[[#This Row],[Customer ID]],Customers[Customer ID],Customers[Region]),"Not found")</f>
        <v>Midwest</v>
      </c>
      <c r="L164" s="29">
        <f>DATE(YEAR(Sales[[#This Row],[Date]]),MONTH(Sales[[#This Row],[Date]]),1)</f>
        <v>45870</v>
      </c>
      <c r="M164" s="24"/>
    </row>
    <row r="165" spans="1:13" ht="16.8" x14ac:dyDescent="0.4">
      <c r="A165" s="30" t="s">
        <v>74</v>
      </c>
      <c r="B165" s="31">
        <v>45429</v>
      </c>
      <c r="C165" s="30" t="s">
        <v>22</v>
      </c>
      <c r="D165" s="30" t="s">
        <v>18</v>
      </c>
      <c r="E165" s="30">
        <v>8</v>
      </c>
      <c r="F165" s="32">
        <f>E165*VLOOKUP(D165,Products!$A$2:$C$7,2,FALSE())</f>
        <v>76000</v>
      </c>
      <c r="G165" s="32">
        <v>59422</v>
      </c>
      <c r="H165" s="30" t="str">
        <f>VLOOKUP(C165,'Customers'!$A$2:$H$41,2,FALSE())</f>
        <v>Nicole White</v>
      </c>
      <c r="I165" s="30" t="s">
        <v>15</v>
      </c>
      <c r="J165" s="33">
        <f>IFERROR((Sales[[#This Row],[Revenue]]-Sales[[#This Row],[Cost]])/Sales[[#This Row],[Revenue]],0)</f>
        <v>0.21813157894736843</v>
      </c>
      <c r="K165" s="33" t="str">
        <f>_xlfn.IFNA(_xlfn.XLOOKUP(Sales[[#This Row],[Customer ID]],Customers[Customer ID],Customers[Region]),"Not found")</f>
        <v>West</v>
      </c>
      <c r="L165" s="34">
        <f>DATE(YEAR(Sales[[#This Row],[Date]]),MONTH(Sales[[#This Row],[Date]]),1)</f>
        <v>45413</v>
      </c>
      <c r="M165" s="24"/>
    </row>
    <row r="166" spans="1:13" ht="16.8" x14ac:dyDescent="0.4">
      <c r="A166" s="25" t="s">
        <v>220</v>
      </c>
      <c r="B166" s="26">
        <v>45883</v>
      </c>
      <c r="C166" s="25" t="s">
        <v>66</v>
      </c>
      <c r="D166" s="25" t="s">
        <v>52</v>
      </c>
      <c r="E166" s="25">
        <v>21</v>
      </c>
      <c r="F166" s="27">
        <f>E166*VLOOKUP(D166,Products!$A$2:$C$7,2,FALSE())</f>
        <v>37800</v>
      </c>
      <c r="G166" s="27">
        <v>28211</v>
      </c>
      <c r="H166" s="25" t="str">
        <f>VLOOKUP(C166,'Customers'!$A$2:$H$41,2,FALSE())</f>
        <v>David Jones</v>
      </c>
      <c r="I166" s="25" t="s">
        <v>11</v>
      </c>
      <c r="J166" s="28">
        <f>IFERROR((Sales[[#This Row],[Revenue]]-Sales[[#This Row],[Cost]])/Sales[[#This Row],[Revenue]],0)</f>
        <v>0.25367724867724867</v>
      </c>
      <c r="K166" s="28" t="str">
        <f>_xlfn.IFNA(_xlfn.XLOOKUP(Sales[[#This Row],[Customer ID]],Customers[Customer ID],Customers[Region]),"Not found")</f>
        <v>Northeast</v>
      </c>
      <c r="L166" s="29">
        <f>DATE(YEAR(Sales[[#This Row],[Date]]),MONTH(Sales[[#This Row],[Date]]),1)</f>
        <v>45870</v>
      </c>
      <c r="M166" s="24"/>
    </row>
    <row r="167" spans="1:13" ht="16.8" x14ac:dyDescent="0.4">
      <c r="A167" s="30" t="s">
        <v>221</v>
      </c>
      <c r="B167" s="31">
        <v>45884</v>
      </c>
      <c r="C167" s="30" t="s">
        <v>222</v>
      </c>
      <c r="D167" s="30" t="s">
        <v>24</v>
      </c>
      <c r="E167" s="30">
        <v>10</v>
      </c>
      <c r="F167" s="32">
        <f>E167*VLOOKUP(D167,Products!$A$2:$C$7,2,FALSE())</f>
        <v>4500</v>
      </c>
      <c r="G167" s="32">
        <v>3220</v>
      </c>
      <c r="H167" s="30" t="str">
        <f>VLOOKUP(C167,'Customers'!$A$2:$H$41,2,FALSE())</f>
        <v>Benjamin Mitchell</v>
      </c>
      <c r="I167" s="30" t="s">
        <v>15</v>
      </c>
      <c r="J167" s="33">
        <f>IFERROR((Sales[[#This Row],[Revenue]]-Sales[[#This Row],[Cost]])/Sales[[#This Row],[Revenue]],0)</f>
        <v>0.28444444444444444</v>
      </c>
      <c r="K167" s="33" t="str">
        <f>_xlfn.IFNA(_xlfn.XLOOKUP(Sales[[#This Row],[Customer ID]],Customers[Customer ID],Customers[Region]),"Not found")</f>
        <v>Northeast</v>
      </c>
      <c r="L167" s="34">
        <f>DATE(YEAR(Sales[[#This Row],[Date]]),MONTH(Sales[[#This Row],[Date]]),1)</f>
        <v>45870</v>
      </c>
      <c r="M167" s="24"/>
    </row>
    <row r="168" spans="1:13" ht="16.8" x14ac:dyDescent="0.4">
      <c r="A168" s="25" t="s">
        <v>223</v>
      </c>
      <c r="B168" s="26">
        <v>45893</v>
      </c>
      <c r="C168" s="25" t="s">
        <v>66</v>
      </c>
      <c r="D168" s="25" t="s">
        <v>27</v>
      </c>
      <c r="E168" s="25">
        <v>6</v>
      </c>
      <c r="F168" s="27">
        <f>E168*VLOOKUP(D168,Products!$A$2:$C$7,2,FALSE())</f>
        <v>1800</v>
      </c>
      <c r="G168" s="27">
        <v>1256</v>
      </c>
      <c r="H168" s="25" t="str">
        <f>VLOOKUP(C168,'Customers'!$A$2:$H$41,2,FALSE())</f>
        <v>David Jones</v>
      </c>
      <c r="I168" s="25" t="s">
        <v>11</v>
      </c>
      <c r="J168" s="28">
        <f>IFERROR((Sales[[#This Row],[Revenue]]-Sales[[#This Row],[Cost]])/Sales[[#This Row],[Revenue]],0)</f>
        <v>0.30222222222222223</v>
      </c>
      <c r="K168" s="28" t="str">
        <f>_xlfn.IFNA(_xlfn.XLOOKUP(Sales[[#This Row],[Customer ID]],Customers[Customer ID],Customers[Region]),"Not found")</f>
        <v>Northeast</v>
      </c>
      <c r="L168" s="29">
        <f>DATE(YEAR(Sales[[#This Row],[Date]]),MONTH(Sales[[#This Row],[Date]]),1)</f>
        <v>45870</v>
      </c>
      <c r="M168" s="24"/>
    </row>
    <row r="169" spans="1:13" ht="16.8" x14ac:dyDescent="0.4">
      <c r="A169" s="30" t="s">
        <v>224</v>
      </c>
      <c r="B169" s="31">
        <v>45895</v>
      </c>
      <c r="C169" s="30" t="s">
        <v>58</v>
      </c>
      <c r="D169" s="30" t="s">
        <v>10</v>
      </c>
      <c r="E169" s="30">
        <v>57</v>
      </c>
      <c r="F169" s="32">
        <f>E169*VLOOKUP(D169,Products!$A$2:$C$7,2,FALSE())</f>
        <v>48450</v>
      </c>
      <c r="G169" s="32">
        <v>35157</v>
      </c>
      <c r="H169" s="30" t="str">
        <f>VLOOKUP(C169,'Customers'!$A$2:$H$41,2,FALSE())</f>
        <v>Stephanie Lee</v>
      </c>
      <c r="I169" s="30" t="s">
        <v>15</v>
      </c>
      <c r="J169" s="33">
        <f>IFERROR((Sales[[#This Row],[Revenue]]-Sales[[#This Row],[Cost]])/Sales[[#This Row],[Revenue]],0)</f>
        <v>0.27436532507739936</v>
      </c>
      <c r="K169" s="33" t="str">
        <f>_xlfn.IFNA(_xlfn.XLOOKUP(Sales[[#This Row],[Customer ID]],Customers[Customer ID],Customers[Region]),"Not found")</f>
        <v>Northeast</v>
      </c>
      <c r="L169" s="34">
        <f>DATE(YEAR(Sales[[#This Row],[Date]]),MONTH(Sales[[#This Row],[Date]]),1)</f>
        <v>45870</v>
      </c>
      <c r="M169" s="24"/>
    </row>
    <row r="170" spans="1:13" ht="16.8" x14ac:dyDescent="0.4">
      <c r="A170" s="25" t="s">
        <v>225</v>
      </c>
      <c r="B170" s="26">
        <v>45906</v>
      </c>
      <c r="C170" s="25" t="s">
        <v>60</v>
      </c>
      <c r="D170" s="25" t="s">
        <v>14</v>
      </c>
      <c r="E170" s="25">
        <v>31</v>
      </c>
      <c r="F170" s="27">
        <f>E170*VLOOKUP(D170,Products!$A$2:$C$7,2,FALSE())</f>
        <v>37200</v>
      </c>
      <c r="G170" s="27">
        <v>27457</v>
      </c>
      <c r="H170" s="25" t="str">
        <f>VLOOKUP(C170,'Customers'!$A$2:$H$41,2,FALSE())</f>
        <v>Matthew Rodriguez</v>
      </c>
      <c r="I170" s="25" t="s">
        <v>11</v>
      </c>
      <c r="J170" s="28">
        <f>IFERROR((Sales[[#This Row],[Revenue]]-Sales[[#This Row],[Cost]])/Sales[[#This Row],[Revenue]],0)</f>
        <v>0.26190860215053763</v>
      </c>
      <c r="K170" s="28" t="str">
        <f>_xlfn.IFNA(_xlfn.XLOOKUP(Sales[[#This Row],[Customer ID]],Customers[Customer ID],Customers[Region]),"Not found")</f>
        <v>West</v>
      </c>
      <c r="L170" s="29">
        <f>DATE(YEAR(Sales[[#This Row],[Date]]),MONTH(Sales[[#This Row],[Date]]),1)</f>
        <v>45901</v>
      </c>
      <c r="M170" s="24"/>
    </row>
    <row r="171" spans="1:13" ht="16.8" x14ac:dyDescent="0.4">
      <c r="A171" s="30" t="s">
        <v>226</v>
      </c>
      <c r="B171" s="31">
        <v>45909</v>
      </c>
      <c r="C171" s="30" t="s">
        <v>82</v>
      </c>
      <c r="D171" s="30" t="s">
        <v>24</v>
      </c>
      <c r="E171" s="30">
        <v>52</v>
      </c>
      <c r="F171" s="32">
        <f>E171*VLOOKUP(D171,Products!$A$2:$C$7,2,FALSE())</f>
        <v>23400</v>
      </c>
      <c r="G171" s="32">
        <v>17097</v>
      </c>
      <c r="H171" s="30" t="str">
        <f>VLOOKUP(C171,'Customers'!$A$2:$H$41,2,FALSE())</f>
        <v>Ryan Moore</v>
      </c>
      <c r="I171" s="30" t="s">
        <v>15</v>
      </c>
      <c r="J171" s="33">
        <f>IFERROR((Sales[[#This Row],[Revenue]]-Sales[[#This Row],[Cost]])/Sales[[#This Row],[Revenue]],0)</f>
        <v>0.26935897435897438</v>
      </c>
      <c r="K171" s="33" t="str">
        <f>_xlfn.IFNA(_xlfn.XLOOKUP(Sales[[#This Row],[Customer ID]],Customers[Customer ID],Customers[Region]),"Not found")</f>
        <v>South</v>
      </c>
      <c r="L171" s="34">
        <f>DATE(YEAR(Sales[[#This Row],[Date]]),MONTH(Sales[[#This Row],[Date]]),1)</f>
        <v>45901</v>
      </c>
      <c r="M171" s="24"/>
    </row>
    <row r="172" spans="1:13" ht="16.8" x14ac:dyDescent="0.4">
      <c r="A172" s="25" t="s">
        <v>227</v>
      </c>
      <c r="B172" s="26">
        <v>45909</v>
      </c>
      <c r="C172" s="25" t="s">
        <v>37</v>
      </c>
      <c r="D172" s="25" t="s">
        <v>14</v>
      </c>
      <c r="E172" s="25">
        <v>38</v>
      </c>
      <c r="F172" s="27">
        <f>E172*VLOOKUP(D172,Products!$A$2:$C$7,2,FALSE())</f>
        <v>45600</v>
      </c>
      <c r="G172" s="27">
        <v>33259</v>
      </c>
      <c r="H172" s="25" t="str">
        <f>VLOOKUP(C172,'Customers'!$A$2:$H$41,2,FALSE())</f>
        <v>Ethan Green</v>
      </c>
      <c r="I172" s="25" t="s">
        <v>15</v>
      </c>
      <c r="J172" s="28">
        <f>IFERROR((Sales[[#This Row],[Revenue]]-Sales[[#This Row],[Cost]])/Sales[[#This Row],[Revenue]],0)</f>
        <v>0.2706359649122807</v>
      </c>
      <c r="K172" s="28" t="str">
        <f>_xlfn.IFNA(_xlfn.XLOOKUP(Sales[[#This Row],[Customer ID]],Customers[Customer ID],Customers[Region]),"Not found")</f>
        <v>West</v>
      </c>
      <c r="L172" s="29">
        <f>DATE(YEAR(Sales[[#This Row],[Date]]),MONTH(Sales[[#This Row],[Date]]),1)</f>
        <v>45901</v>
      </c>
      <c r="M172" s="24"/>
    </row>
    <row r="173" spans="1:13" ht="16.8" x14ac:dyDescent="0.4">
      <c r="A173" s="30" t="s">
        <v>228</v>
      </c>
      <c r="B173" s="31">
        <v>45910</v>
      </c>
      <c r="C173" s="30" t="s">
        <v>20</v>
      </c>
      <c r="D173" s="30" t="s">
        <v>27</v>
      </c>
      <c r="E173" s="30">
        <v>25</v>
      </c>
      <c r="F173" s="32">
        <f>E173*VLOOKUP(D173,Products!$A$2:$C$7,2,FALSE())</f>
        <v>7500</v>
      </c>
      <c r="G173" s="32">
        <v>5177</v>
      </c>
      <c r="H173" s="30" t="str">
        <f>VLOOKUP(C173,'Customers'!$A$2:$H$41,2,FALSE())</f>
        <v>Andrew Wilson</v>
      </c>
      <c r="I173" s="30" t="s">
        <v>15</v>
      </c>
      <c r="J173" s="33">
        <f>IFERROR((Sales[[#This Row],[Revenue]]-Sales[[#This Row],[Cost]])/Sales[[#This Row],[Revenue]],0)</f>
        <v>0.30973333333333336</v>
      </c>
      <c r="K173" s="33" t="str">
        <f>_xlfn.IFNA(_xlfn.XLOOKUP(Sales[[#This Row],[Customer ID]],Customers[Customer ID],Customers[Region]),"Not found")</f>
        <v>Northeast</v>
      </c>
      <c r="L173" s="34">
        <f>DATE(YEAR(Sales[[#This Row],[Date]]),MONTH(Sales[[#This Row],[Date]]),1)</f>
        <v>45901</v>
      </c>
      <c r="M173" s="24"/>
    </row>
    <row r="174" spans="1:13" ht="16.8" x14ac:dyDescent="0.4">
      <c r="A174" s="25" t="s">
        <v>229</v>
      </c>
      <c r="B174" s="26">
        <v>45910</v>
      </c>
      <c r="C174" s="25" t="s">
        <v>201</v>
      </c>
      <c r="D174" s="25" t="s">
        <v>14</v>
      </c>
      <c r="E174" s="25">
        <v>8</v>
      </c>
      <c r="F174" s="27">
        <f>E174*VLOOKUP(D174,Products!$A$2:$C$7,2,FALSE())</f>
        <v>9600</v>
      </c>
      <c r="G174" s="27">
        <v>7005</v>
      </c>
      <c r="H174" s="25" t="str">
        <f>VLOOKUP(C174,'Customers'!$A$2:$H$41,2,FALSE())</f>
        <v>Ashley Davis</v>
      </c>
      <c r="I174" s="25" t="s">
        <v>15</v>
      </c>
      <c r="J174" s="28">
        <f>IFERROR((Sales[[#This Row],[Revenue]]-Sales[[#This Row],[Cost]])/Sales[[#This Row],[Revenue]],0)</f>
        <v>0.27031250000000001</v>
      </c>
      <c r="K174" s="28" t="str">
        <f>_xlfn.IFNA(_xlfn.XLOOKUP(Sales[[#This Row],[Customer ID]],Customers[Customer ID],Customers[Region]),"Not found")</f>
        <v>West</v>
      </c>
      <c r="L174" s="29">
        <f>DATE(YEAR(Sales[[#This Row],[Date]]),MONTH(Sales[[#This Row],[Date]]),1)</f>
        <v>45901</v>
      </c>
      <c r="M174" s="24"/>
    </row>
    <row r="175" spans="1:13" ht="16.8" x14ac:dyDescent="0.4">
      <c r="A175" s="30" t="s">
        <v>230</v>
      </c>
      <c r="B175" s="31">
        <v>45915</v>
      </c>
      <c r="C175" s="30" t="s">
        <v>79</v>
      </c>
      <c r="D175" s="30" t="s">
        <v>14</v>
      </c>
      <c r="E175" s="30">
        <v>20</v>
      </c>
      <c r="F175" s="32">
        <f>E175*VLOOKUP(D175,Products!$A$2:$C$7,2,FALSE())</f>
        <v>24000</v>
      </c>
      <c r="G175" s="32">
        <v>17553</v>
      </c>
      <c r="H175" s="30" t="str">
        <f>VLOOKUP(C175,'Customers'!$A$2:$H$41,2,FALSE())</f>
        <v>Jennifer Lopez</v>
      </c>
      <c r="I175" s="30" t="s">
        <v>47</v>
      </c>
      <c r="J175" s="33">
        <f>IFERROR((Sales[[#This Row],[Revenue]]-Sales[[#This Row],[Cost]])/Sales[[#This Row],[Revenue]],0)</f>
        <v>0.268625</v>
      </c>
      <c r="K175" s="33" t="str">
        <f>_xlfn.IFNA(_xlfn.XLOOKUP(Sales[[#This Row],[Customer ID]],Customers[Customer ID],Customers[Region]),"Not found")</f>
        <v>South</v>
      </c>
      <c r="L175" s="34">
        <f>DATE(YEAR(Sales[[#This Row],[Date]]),MONTH(Sales[[#This Row],[Date]]),1)</f>
        <v>45901</v>
      </c>
      <c r="M175" s="24"/>
    </row>
    <row r="176" spans="1:13" ht="16.8" x14ac:dyDescent="0.4">
      <c r="A176" s="25" t="s">
        <v>231</v>
      </c>
      <c r="B176" s="26">
        <v>45916</v>
      </c>
      <c r="C176" s="25" t="s">
        <v>56</v>
      </c>
      <c r="D176" s="25" t="s">
        <v>14</v>
      </c>
      <c r="E176" s="25">
        <v>28</v>
      </c>
      <c r="F176" s="27">
        <f>E176*VLOOKUP(D176,Products!$A$2:$C$7,2,FALSE())</f>
        <v>33600</v>
      </c>
      <c r="G176" s="27">
        <v>25661</v>
      </c>
      <c r="H176" s="25" t="str">
        <f>VLOOKUP(C176,'Customers'!$A$2:$H$41,2,FALSE())</f>
        <v>Nathan Allen</v>
      </c>
      <c r="I176" s="25" t="s">
        <v>15</v>
      </c>
      <c r="J176" s="28">
        <f>IFERROR((Sales[[#This Row],[Revenue]]-Sales[[#This Row],[Cost]])/Sales[[#This Row],[Revenue]],0)</f>
        <v>0.23627976190476191</v>
      </c>
      <c r="K176" s="28" t="str">
        <f>_xlfn.IFNA(_xlfn.XLOOKUP(Sales[[#This Row],[Customer ID]],Customers[Customer ID],Customers[Region]),"Not found")</f>
        <v>West</v>
      </c>
      <c r="L176" s="29">
        <f>DATE(YEAR(Sales[[#This Row],[Date]]),MONTH(Sales[[#This Row],[Date]]),1)</f>
        <v>45901</v>
      </c>
      <c r="M176" s="24"/>
    </row>
    <row r="177" spans="1:13" ht="16.8" x14ac:dyDescent="0.4">
      <c r="A177" s="30" t="s">
        <v>72</v>
      </c>
      <c r="B177" s="31">
        <v>45427</v>
      </c>
      <c r="C177" s="30" t="s">
        <v>49</v>
      </c>
      <c r="D177" s="30" t="s">
        <v>18</v>
      </c>
      <c r="E177" s="30">
        <v>8</v>
      </c>
      <c r="F177" s="32">
        <f>E177*VLOOKUP(D177,Products!$A$2:$C$7,2,FALSE())</f>
        <v>76000</v>
      </c>
      <c r="G177" s="32">
        <v>56135</v>
      </c>
      <c r="H177" s="30" t="str">
        <f>VLOOKUP(C177,'Customers'!$A$2:$H$41,2,FALSE())</f>
        <v>Emily Johnson</v>
      </c>
      <c r="I177" s="30" t="s">
        <v>15</v>
      </c>
      <c r="J177" s="33">
        <f>IFERROR((Sales[[#This Row],[Revenue]]-Sales[[#This Row],[Cost]])/Sales[[#This Row],[Revenue]],0)</f>
        <v>0.26138157894736841</v>
      </c>
      <c r="K177" s="33" t="str">
        <f>_xlfn.IFNA(_xlfn.XLOOKUP(Sales[[#This Row],[Customer ID]],Customers[Customer ID],Customers[Region]),"Not found")</f>
        <v>Northeast</v>
      </c>
      <c r="L177" s="34">
        <f>DATE(YEAR(Sales[[#This Row],[Date]]),MONTH(Sales[[#This Row],[Date]]),1)</f>
        <v>45413</v>
      </c>
      <c r="M177" s="24"/>
    </row>
    <row r="178" spans="1:13" ht="16.8" x14ac:dyDescent="0.4">
      <c r="A178" s="25" t="s">
        <v>233</v>
      </c>
      <c r="B178" s="26">
        <v>45925</v>
      </c>
      <c r="C178" s="25" t="s">
        <v>107</v>
      </c>
      <c r="D178" s="25" t="s">
        <v>52</v>
      </c>
      <c r="E178" s="25">
        <v>23</v>
      </c>
      <c r="F178" s="27">
        <f>E178*VLOOKUP(D178,Products!$A$2:$C$7,2,FALSE())</f>
        <v>41400</v>
      </c>
      <c r="G178" s="27">
        <v>30762</v>
      </c>
      <c r="H178" s="25" t="str">
        <f>VLOOKUP(C178,'Customers'!$A$2:$H$41,2,FALSE())</f>
        <v>Brandon Martin</v>
      </c>
      <c r="I178" s="25" t="s">
        <v>47</v>
      </c>
      <c r="J178" s="28">
        <f>IFERROR((Sales[[#This Row],[Revenue]]-Sales[[#This Row],[Cost]])/Sales[[#This Row],[Revenue]],0)</f>
        <v>0.25695652173913042</v>
      </c>
      <c r="K178" s="28" t="str">
        <f>_xlfn.IFNA(_xlfn.XLOOKUP(Sales[[#This Row],[Customer ID]],Customers[Customer ID],Customers[Region]),"Not found")</f>
        <v>Northeast</v>
      </c>
      <c r="L178" s="29">
        <f>DATE(YEAR(Sales[[#This Row],[Date]]),MONTH(Sales[[#This Row],[Date]]),1)</f>
        <v>45901</v>
      </c>
      <c r="M178" s="24"/>
    </row>
    <row r="179" spans="1:13" ht="16.8" x14ac:dyDescent="0.4">
      <c r="A179" s="30" t="s">
        <v>234</v>
      </c>
      <c r="B179" s="31">
        <v>45926</v>
      </c>
      <c r="C179" s="30" t="s">
        <v>31</v>
      </c>
      <c r="D179" s="30" t="s">
        <v>52</v>
      </c>
      <c r="E179" s="30">
        <v>7</v>
      </c>
      <c r="F179" s="32">
        <f>E179*VLOOKUP(D179,Products!$A$2:$C$7,2,FALSE())</f>
        <v>12600</v>
      </c>
      <c r="G179" s="32">
        <v>9673</v>
      </c>
      <c r="H179" s="30" t="str">
        <f>VLOOKUP(C179,'Customers'!$A$2:$H$41,2,FALSE())</f>
        <v>Olivia King</v>
      </c>
      <c r="I179" s="30" t="s">
        <v>11</v>
      </c>
      <c r="J179" s="33">
        <f>IFERROR((Sales[[#This Row],[Revenue]]-Sales[[#This Row],[Cost]])/Sales[[#This Row],[Revenue]],0)</f>
        <v>0.23230158730158731</v>
      </c>
      <c r="K179" s="33" t="str">
        <f>_xlfn.IFNA(_xlfn.XLOOKUP(Sales[[#This Row],[Customer ID]],Customers[Customer ID],Customers[Region]),"Not found")</f>
        <v>Northeast</v>
      </c>
      <c r="L179" s="34">
        <f>DATE(YEAR(Sales[[#This Row],[Date]]),MONTH(Sales[[#This Row],[Date]]),1)</f>
        <v>45901</v>
      </c>
      <c r="M179" s="24"/>
    </row>
    <row r="180" spans="1:13" ht="16.8" x14ac:dyDescent="0.4">
      <c r="A180" s="25" t="s">
        <v>63</v>
      </c>
      <c r="B180" s="26">
        <v>45391</v>
      </c>
      <c r="C180" s="25" t="s">
        <v>42</v>
      </c>
      <c r="D180" s="25" t="s">
        <v>52</v>
      </c>
      <c r="E180" s="25">
        <v>37</v>
      </c>
      <c r="F180" s="27">
        <f>E180*VLOOKUP(D180,Products!$A$2:$C$7,2,FALSE())</f>
        <v>66600</v>
      </c>
      <c r="G180" s="27">
        <v>48586</v>
      </c>
      <c r="H180" s="25" t="str">
        <f>VLOOKUP(C180,'Customers'!$A$2:$H$41,2,FALSE())</f>
        <v>Daniel Miller</v>
      </c>
      <c r="I180" s="25" t="s">
        <v>11</v>
      </c>
      <c r="J180" s="28">
        <f>IFERROR((Sales[[#This Row],[Revenue]]-Sales[[#This Row],[Cost]])/Sales[[#This Row],[Revenue]],0)</f>
        <v>0.27048048048048046</v>
      </c>
      <c r="K180" s="28" t="str">
        <f>_xlfn.IFNA(_xlfn.XLOOKUP(Sales[[#This Row],[Customer ID]],Customers[Customer ID],Customers[Region]),"Not found")</f>
        <v>Midwest</v>
      </c>
      <c r="L180" s="29">
        <f>DATE(YEAR(Sales[[#This Row],[Date]]),MONTH(Sales[[#This Row],[Date]]),1)</f>
        <v>45383</v>
      </c>
      <c r="M180" s="24"/>
    </row>
    <row r="181" spans="1:13" ht="16.8" x14ac:dyDescent="0.4">
      <c r="A181" s="30" t="s">
        <v>236</v>
      </c>
      <c r="B181" s="31">
        <v>45933</v>
      </c>
      <c r="C181" s="30" t="s">
        <v>102</v>
      </c>
      <c r="D181" s="30" t="s">
        <v>10</v>
      </c>
      <c r="E181" s="30">
        <v>30</v>
      </c>
      <c r="F181" s="32">
        <f>E181*VLOOKUP(D181,Products!$A$2:$C$7,2,FALSE())</f>
        <v>25500</v>
      </c>
      <c r="G181" s="32">
        <v>19109</v>
      </c>
      <c r="H181" s="30" t="str">
        <f>VLOOKUP(C181,'Customers'!$A$2:$H$41,2,FALSE())</f>
        <v>Christopher Hernandez</v>
      </c>
      <c r="I181" s="30" t="s">
        <v>15</v>
      </c>
      <c r="J181" s="33">
        <f>IFERROR((Sales[[#This Row],[Revenue]]-Sales[[#This Row],[Cost]])/Sales[[#This Row],[Revenue]],0)</f>
        <v>0.25062745098039213</v>
      </c>
      <c r="K181" s="33" t="str">
        <f>_xlfn.IFNA(_xlfn.XLOOKUP(Sales[[#This Row],[Customer ID]],Customers[Customer ID],Customers[Region]),"Not found")</f>
        <v>Midwest</v>
      </c>
      <c r="L181" s="34">
        <f>DATE(YEAR(Sales[[#This Row],[Date]]),MONTH(Sales[[#This Row],[Date]]),1)</f>
        <v>45931</v>
      </c>
      <c r="M181" s="24"/>
    </row>
    <row r="182" spans="1:13" ht="16.8" x14ac:dyDescent="0.4">
      <c r="A182" s="25" t="s">
        <v>237</v>
      </c>
      <c r="B182" s="26">
        <v>45934</v>
      </c>
      <c r="C182" s="25" t="s">
        <v>34</v>
      </c>
      <c r="D182" s="25" t="s">
        <v>18</v>
      </c>
      <c r="E182" s="25">
        <v>4</v>
      </c>
      <c r="F182" s="27">
        <f>E182*VLOOKUP(D182,Products!$A$2:$C$7,2,FALSE())</f>
        <v>38000</v>
      </c>
      <c r="G182" s="27">
        <v>28124</v>
      </c>
      <c r="H182" s="25" t="str">
        <f>VLOOKUP(C182,'Customers'!$A$2:$H$41,2,FALSE())</f>
        <v>Victoria Nelson</v>
      </c>
      <c r="I182" s="25" t="s">
        <v>15</v>
      </c>
      <c r="J182" s="28">
        <f>IFERROR((Sales[[#This Row],[Revenue]]-Sales[[#This Row],[Cost]])/Sales[[#This Row],[Revenue]],0)</f>
        <v>0.25989473684210529</v>
      </c>
      <c r="K182" s="28" t="str">
        <f>_xlfn.IFNA(_xlfn.XLOOKUP(Sales[[#This Row],[Customer ID]],Customers[Customer ID],Customers[Region]),"Not found")</f>
        <v>Northeast</v>
      </c>
      <c r="L182" s="29">
        <f>DATE(YEAR(Sales[[#This Row],[Date]]),MONTH(Sales[[#This Row],[Date]]),1)</f>
        <v>45931</v>
      </c>
      <c r="M182" s="24"/>
    </row>
    <row r="183" spans="1:13" ht="16.8" x14ac:dyDescent="0.4">
      <c r="A183" s="30" t="s">
        <v>238</v>
      </c>
      <c r="B183" s="31">
        <v>45936</v>
      </c>
      <c r="C183" s="30" t="s">
        <v>58</v>
      </c>
      <c r="D183" s="30" t="s">
        <v>27</v>
      </c>
      <c r="E183" s="30">
        <v>9</v>
      </c>
      <c r="F183" s="32">
        <f>E183*VLOOKUP(D183,Products!$A$2:$C$7,2,FALSE())</f>
        <v>2700</v>
      </c>
      <c r="G183" s="32">
        <v>1820</v>
      </c>
      <c r="H183" s="30" t="str">
        <f>VLOOKUP(C183,'Customers'!$A$2:$H$41,2,FALSE())</f>
        <v>Stephanie Lee</v>
      </c>
      <c r="I183" s="30" t="s">
        <v>15</v>
      </c>
      <c r="J183" s="33">
        <f>IFERROR((Sales[[#This Row],[Revenue]]-Sales[[#This Row],[Cost]])/Sales[[#This Row],[Revenue]],0)</f>
        <v>0.32592592592592595</v>
      </c>
      <c r="K183" s="33" t="str">
        <f>_xlfn.IFNA(_xlfn.XLOOKUP(Sales[[#This Row],[Customer ID]],Customers[Customer ID],Customers[Region]),"Not found")</f>
        <v>Northeast</v>
      </c>
      <c r="L183" s="34">
        <f>DATE(YEAR(Sales[[#This Row],[Date]]),MONTH(Sales[[#This Row],[Date]]),1)</f>
        <v>45931</v>
      </c>
      <c r="M183" s="24"/>
    </row>
    <row r="184" spans="1:13" ht="16.8" x14ac:dyDescent="0.4">
      <c r="A184" s="25" t="s">
        <v>59</v>
      </c>
      <c r="B184" s="26">
        <v>45389</v>
      </c>
      <c r="C184" s="25" t="s">
        <v>60</v>
      </c>
      <c r="D184" s="25" t="s">
        <v>18</v>
      </c>
      <c r="E184" s="25">
        <v>8</v>
      </c>
      <c r="F184" s="27">
        <f>E184*VLOOKUP(D184,Products!$A$2:$C$7,2,FALSE())</f>
        <v>76000</v>
      </c>
      <c r="G184" s="27">
        <v>59584</v>
      </c>
      <c r="H184" s="25" t="str">
        <f>VLOOKUP(C184,'Customers'!$A$2:$H$41,2,FALSE())</f>
        <v>Matthew Rodriguez</v>
      </c>
      <c r="I184" s="25" t="s">
        <v>15</v>
      </c>
      <c r="J184" s="28">
        <f>IFERROR((Sales[[#This Row],[Revenue]]-Sales[[#This Row],[Cost]])/Sales[[#This Row],[Revenue]],0)</f>
        <v>0.216</v>
      </c>
      <c r="K184" s="28" t="str">
        <f>_xlfn.IFNA(_xlfn.XLOOKUP(Sales[[#This Row],[Customer ID]],Customers[Customer ID],Customers[Region]),"Not found")</f>
        <v>West</v>
      </c>
      <c r="L184" s="29">
        <f>DATE(YEAR(Sales[[#This Row],[Date]]),MONTH(Sales[[#This Row],[Date]]),1)</f>
        <v>45383</v>
      </c>
      <c r="M184" s="24"/>
    </row>
    <row r="185" spans="1:13" ht="16.8" x14ac:dyDescent="0.4">
      <c r="A185" s="30" t="s">
        <v>240</v>
      </c>
      <c r="B185" s="31">
        <v>45937</v>
      </c>
      <c r="C185" s="30" t="s">
        <v>71</v>
      </c>
      <c r="D185" s="30" t="s">
        <v>52</v>
      </c>
      <c r="E185" s="30">
        <v>26</v>
      </c>
      <c r="F185" s="32">
        <f>E185*VLOOKUP(D185,Products!$A$2:$C$7,2,FALSE())</f>
        <v>46800</v>
      </c>
      <c r="G185" s="32">
        <v>35101</v>
      </c>
      <c r="H185" s="30" t="str">
        <f>VLOOKUP(C185,'Customers'!$A$2:$H$41,2,FALSE())</f>
        <v>Elizabeth Clark</v>
      </c>
      <c r="I185" s="30" t="s">
        <v>15</v>
      </c>
      <c r="J185" s="33">
        <f>IFERROR((Sales[[#This Row],[Revenue]]-Sales[[#This Row],[Cost]])/Sales[[#This Row],[Revenue]],0)</f>
        <v>0.24997863247863247</v>
      </c>
      <c r="K185" s="33" t="str">
        <f>_xlfn.IFNA(_xlfn.XLOOKUP(Sales[[#This Row],[Customer ID]],Customers[Customer ID],Customers[Region]),"Not found")</f>
        <v>South</v>
      </c>
      <c r="L185" s="34">
        <f>DATE(YEAR(Sales[[#This Row],[Date]]),MONTH(Sales[[#This Row],[Date]]),1)</f>
        <v>45931</v>
      </c>
      <c r="M185" s="24"/>
    </row>
    <row r="186" spans="1:13" ht="16.8" x14ac:dyDescent="0.4">
      <c r="A186" s="25" t="s">
        <v>241</v>
      </c>
      <c r="B186" s="26">
        <v>45937</v>
      </c>
      <c r="C186" s="25" t="s">
        <v>97</v>
      </c>
      <c r="D186" s="25" t="s">
        <v>24</v>
      </c>
      <c r="E186" s="25">
        <v>43</v>
      </c>
      <c r="F186" s="27">
        <f>E186*VLOOKUP(D186,Products!$A$2:$C$7,2,FALSE())</f>
        <v>19350</v>
      </c>
      <c r="G186" s="27">
        <v>13720</v>
      </c>
      <c r="H186" s="25" t="str">
        <f>VLOOKUP(C186,'Customers'!$A$2:$H$41,2,FALSE())</f>
        <v>Michael Williams</v>
      </c>
      <c r="I186" s="25" t="s">
        <v>15</v>
      </c>
      <c r="J186" s="28">
        <f>IFERROR((Sales[[#This Row],[Revenue]]-Sales[[#This Row],[Cost]])/Sales[[#This Row],[Revenue]],0)</f>
        <v>0.29095607235142118</v>
      </c>
      <c r="K186" s="28" t="str">
        <f>_xlfn.IFNA(_xlfn.XLOOKUP(Sales[[#This Row],[Customer ID]],Customers[Customer ID],Customers[Region]),"Not found")</f>
        <v>Midwest</v>
      </c>
      <c r="L186" s="29">
        <f>DATE(YEAR(Sales[[#This Row],[Date]]),MONTH(Sales[[#This Row],[Date]]),1)</f>
        <v>45931</v>
      </c>
      <c r="M186" s="24"/>
    </row>
    <row r="187" spans="1:13" ht="16.8" x14ac:dyDescent="0.4">
      <c r="A187" s="30" t="s">
        <v>57</v>
      </c>
      <c r="B187" s="31">
        <v>45385</v>
      </c>
      <c r="C187" s="30" t="s">
        <v>58</v>
      </c>
      <c r="D187" s="30" t="s">
        <v>14</v>
      </c>
      <c r="E187" s="30">
        <v>55</v>
      </c>
      <c r="F187" s="32">
        <f>E187*VLOOKUP(D187,Products!$A$2:$C$7,2,FALSE())</f>
        <v>66000</v>
      </c>
      <c r="G187" s="32">
        <v>48174</v>
      </c>
      <c r="H187" s="30" t="str">
        <f>VLOOKUP(C187,'Customers'!$A$2:$H$41,2,FALSE())</f>
        <v>Stephanie Lee</v>
      </c>
      <c r="I187" s="30" t="s">
        <v>11</v>
      </c>
      <c r="J187" s="33">
        <f>IFERROR((Sales[[#This Row],[Revenue]]-Sales[[#This Row],[Cost]])/Sales[[#This Row],[Revenue]],0)</f>
        <v>0.2700909090909091</v>
      </c>
      <c r="K187" s="33" t="str">
        <f>_xlfn.IFNA(_xlfn.XLOOKUP(Sales[[#This Row],[Customer ID]],Customers[Customer ID],Customers[Region]),"Not found")</f>
        <v>Northeast</v>
      </c>
      <c r="L187" s="34">
        <f>DATE(YEAR(Sales[[#This Row],[Date]]),MONTH(Sales[[#This Row],[Date]]),1)</f>
        <v>45383</v>
      </c>
      <c r="M187" s="24"/>
    </row>
    <row r="188" spans="1:13" ht="16.8" x14ac:dyDescent="0.4">
      <c r="A188" s="25" t="s">
        <v>243</v>
      </c>
      <c r="B188" s="26">
        <v>45944</v>
      </c>
      <c r="C188" s="25" t="s">
        <v>58</v>
      </c>
      <c r="D188" s="25" t="s">
        <v>24</v>
      </c>
      <c r="E188" s="25">
        <v>31</v>
      </c>
      <c r="F188" s="27">
        <f>E188*VLOOKUP(D188,Products!$A$2:$C$7,2,FALSE())</f>
        <v>13950</v>
      </c>
      <c r="G188" s="27">
        <v>10111</v>
      </c>
      <c r="H188" s="25" t="str">
        <f>VLOOKUP(C188,'Customers'!$A$2:$H$41,2,FALSE())</f>
        <v>Stephanie Lee</v>
      </c>
      <c r="I188" s="25" t="s">
        <v>47</v>
      </c>
      <c r="J188" s="28">
        <f>IFERROR((Sales[[#This Row],[Revenue]]-Sales[[#This Row],[Cost]])/Sales[[#This Row],[Revenue]],0)</f>
        <v>0.27519713261648743</v>
      </c>
      <c r="K188" s="28" t="str">
        <f>_xlfn.IFNA(_xlfn.XLOOKUP(Sales[[#This Row],[Customer ID]],Customers[Customer ID],Customers[Region]),"Not found")</f>
        <v>Northeast</v>
      </c>
      <c r="L188" s="29">
        <f>DATE(YEAR(Sales[[#This Row],[Date]]),MONTH(Sales[[#This Row],[Date]]),1)</f>
        <v>45931</v>
      </c>
      <c r="M188" s="24"/>
    </row>
    <row r="189" spans="1:13" ht="16.8" x14ac:dyDescent="0.4">
      <c r="A189" s="30" t="s">
        <v>244</v>
      </c>
      <c r="B189" s="31">
        <v>45945</v>
      </c>
      <c r="C189" s="30" t="s">
        <v>82</v>
      </c>
      <c r="D189" s="30" t="s">
        <v>27</v>
      </c>
      <c r="E189" s="30">
        <v>54</v>
      </c>
      <c r="F189" s="32">
        <f>E189*VLOOKUP(D189,Products!$A$2:$C$7,2,FALSE())</f>
        <v>16200</v>
      </c>
      <c r="G189" s="32">
        <v>11277</v>
      </c>
      <c r="H189" s="30" t="str">
        <f>VLOOKUP(C189,'Customers'!$A$2:$H$41,2,FALSE())</f>
        <v>Ryan Moore</v>
      </c>
      <c r="I189" s="30" t="s">
        <v>15</v>
      </c>
      <c r="J189" s="33">
        <f>IFERROR((Sales[[#This Row],[Revenue]]-Sales[[#This Row],[Cost]])/Sales[[#This Row],[Revenue]],0)</f>
        <v>0.30388888888888888</v>
      </c>
      <c r="K189" s="33" t="str">
        <f>_xlfn.IFNA(_xlfn.XLOOKUP(Sales[[#This Row],[Customer ID]],Customers[Customer ID],Customers[Region]),"Not found")</f>
        <v>South</v>
      </c>
      <c r="L189" s="34">
        <f>DATE(YEAR(Sales[[#This Row],[Date]]),MONTH(Sales[[#This Row],[Date]]),1)</f>
        <v>45931</v>
      </c>
      <c r="M189" s="24"/>
    </row>
    <row r="190" spans="1:13" ht="16.8" x14ac:dyDescent="0.4">
      <c r="A190" s="25" t="s">
        <v>50</v>
      </c>
      <c r="B190" s="26">
        <v>45369</v>
      </c>
      <c r="C190" s="25" t="s">
        <v>51</v>
      </c>
      <c r="D190" s="25" t="s">
        <v>52</v>
      </c>
      <c r="E190" s="25">
        <v>48</v>
      </c>
      <c r="F190" s="27">
        <f>E190*VLOOKUP(D190,Products!$A$2:$C$7,2,FALSE())</f>
        <v>86400</v>
      </c>
      <c r="G190" s="27">
        <v>67372</v>
      </c>
      <c r="H190" s="25" t="str">
        <f>VLOOKUP(C190,'Customers'!$A$2:$H$41,2,FALSE())</f>
        <v>Tyler Thompson</v>
      </c>
      <c r="I190" s="25" t="s">
        <v>11</v>
      </c>
      <c r="J190" s="28">
        <f>IFERROR((Sales[[#This Row],[Revenue]]-Sales[[#This Row],[Cost]])/Sales[[#This Row],[Revenue]],0)</f>
        <v>0.22023148148148147</v>
      </c>
      <c r="K190" s="28" t="str">
        <f>_xlfn.IFNA(_xlfn.XLOOKUP(Sales[[#This Row],[Customer ID]],Customers[Customer ID],Customers[Region]),"Not found")</f>
        <v>South</v>
      </c>
      <c r="L190" s="29">
        <f>DATE(YEAR(Sales[[#This Row],[Date]]),MONTH(Sales[[#This Row],[Date]]),1)</f>
        <v>45352</v>
      </c>
      <c r="M190" s="24"/>
    </row>
    <row r="191" spans="1:13" ht="16.8" x14ac:dyDescent="0.4">
      <c r="A191" s="30" t="s">
        <v>246</v>
      </c>
      <c r="B191" s="31">
        <v>45965</v>
      </c>
      <c r="C191" s="30" t="s">
        <v>85</v>
      </c>
      <c r="D191" s="30" t="s">
        <v>18</v>
      </c>
      <c r="E191" s="30">
        <v>5</v>
      </c>
      <c r="F191" s="32">
        <f>E191*VLOOKUP(D191,Products!$A$2:$C$7,2,FALSE())</f>
        <v>47500</v>
      </c>
      <c r="G191" s="32">
        <v>35218</v>
      </c>
      <c r="H191" s="30" t="str">
        <f>VLOOKUP(C191,'Customers'!$A$2:$H$41,2,FALSE())</f>
        <v>Brittany Scott</v>
      </c>
      <c r="I191" s="30" t="s">
        <v>11</v>
      </c>
      <c r="J191" s="33">
        <f>IFERROR((Sales[[#This Row],[Revenue]]-Sales[[#This Row],[Cost]])/Sales[[#This Row],[Revenue]],0)</f>
        <v>0.25856842105263156</v>
      </c>
      <c r="K191" s="33" t="str">
        <f>_xlfn.IFNA(_xlfn.XLOOKUP(Sales[[#This Row],[Customer ID]],Customers[Customer ID],Customers[Region]),"Not found")</f>
        <v>West</v>
      </c>
      <c r="L191" s="34">
        <f>DATE(YEAR(Sales[[#This Row],[Date]]),MONTH(Sales[[#This Row],[Date]]),1)</f>
        <v>45962</v>
      </c>
      <c r="M191" s="24"/>
    </row>
    <row r="192" spans="1:13" ht="16.8" x14ac:dyDescent="0.4">
      <c r="A192" s="25" t="s">
        <v>247</v>
      </c>
      <c r="B192" s="26">
        <v>45966</v>
      </c>
      <c r="C192" s="25" t="s">
        <v>112</v>
      </c>
      <c r="D192" s="25" t="s">
        <v>10</v>
      </c>
      <c r="E192" s="25">
        <v>10</v>
      </c>
      <c r="F192" s="27">
        <f>E192*VLOOKUP(D192,Products!$A$2:$C$7,2,FALSE())</f>
        <v>8500</v>
      </c>
      <c r="G192" s="27">
        <v>6492</v>
      </c>
      <c r="H192" s="25" t="str">
        <f>VLOOKUP(C192,'Customers'!$A$2:$H$41,2,FALSE())</f>
        <v>Samantha Robinson</v>
      </c>
      <c r="I192" s="25" t="s">
        <v>11</v>
      </c>
      <c r="J192" s="28">
        <f>IFERROR((Sales[[#This Row],[Revenue]]-Sales[[#This Row],[Cost]])/Sales[[#This Row],[Revenue]],0)</f>
        <v>0.23623529411764707</v>
      </c>
      <c r="K192" s="28" t="str">
        <f>_xlfn.IFNA(_xlfn.XLOOKUP(Sales[[#This Row],[Customer ID]],Customers[Customer ID],Customers[Region]),"Not found")</f>
        <v>Northeast</v>
      </c>
      <c r="L192" s="29">
        <f>DATE(YEAR(Sales[[#This Row],[Date]]),MONTH(Sales[[#This Row],[Date]]),1)</f>
        <v>45962</v>
      </c>
      <c r="M192" s="24"/>
    </row>
    <row r="193" spans="1:13" ht="16.8" x14ac:dyDescent="0.4">
      <c r="A193" s="30" t="s">
        <v>248</v>
      </c>
      <c r="B193" s="31">
        <v>45968</v>
      </c>
      <c r="C193" s="30" t="s">
        <v>149</v>
      </c>
      <c r="D193" s="30" t="s">
        <v>52</v>
      </c>
      <c r="E193" s="30">
        <v>15</v>
      </c>
      <c r="F193" s="32">
        <f>E193*VLOOKUP(D193,Products!$A$2:$C$7,2,FALSE())</f>
        <v>27000</v>
      </c>
      <c r="G193" s="32">
        <v>20574</v>
      </c>
      <c r="H193" s="30" t="str">
        <f>VLOOKUP(C193,'Customers'!$A$2:$H$41,2,FALSE())</f>
        <v>Hannah Young</v>
      </c>
      <c r="I193" s="30" t="s">
        <v>11</v>
      </c>
      <c r="J193" s="33">
        <f>IFERROR((Sales[[#This Row],[Revenue]]-Sales[[#This Row],[Cost]])/Sales[[#This Row],[Revenue]],0)</f>
        <v>0.23799999999999999</v>
      </c>
      <c r="K193" s="33" t="str">
        <f>_xlfn.IFNA(_xlfn.XLOOKUP(Sales[[#This Row],[Customer ID]],Customers[Customer ID],Customers[Region]),"Not found")</f>
        <v>Northeast</v>
      </c>
      <c r="L193" s="34">
        <f>DATE(YEAR(Sales[[#This Row],[Date]]),MONTH(Sales[[#This Row],[Date]]),1)</f>
        <v>45962</v>
      </c>
      <c r="M193" s="24"/>
    </row>
    <row r="194" spans="1:13" ht="16.8" x14ac:dyDescent="0.4">
      <c r="A194" s="25" t="s">
        <v>249</v>
      </c>
      <c r="B194" s="26">
        <v>45971</v>
      </c>
      <c r="C194" s="25" t="s">
        <v>62</v>
      </c>
      <c r="D194" s="25" t="s">
        <v>14</v>
      </c>
      <c r="E194" s="25">
        <v>15</v>
      </c>
      <c r="F194" s="27">
        <f>E194*VLOOKUP(D194,Products!$A$2:$C$7,2,FALSE())</f>
        <v>18000</v>
      </c>
      <c r="G194" s="27">
        <v>13694</v>
      </c>
      <c r="H194" s="25" t="str">
        <f>VLOOKUP(C194,'Customers'!$A$2:$H$41,2,FALSE())</f>
        <v>Kayla Baker</v>
      </c>
      <c r="I194" s="25" t="s">
        <v>15</v>
      </c>
      <c r="J194" s="28">
        <f>IFERROR((Sales[[#This Row],[Revenue]]-Sales[[#This Row],[Cost]])/Sales[[#This Row],[Revenue]],0)</f>
        <v>0.23922222222222222</v>
      </c>
      <c r="K194" s="28" t="str">
        <f>_xlfn.IFNA(_xlfn.XLOOKUP(Sales[[#This Row],[Customer ID]],Customers[Customer ID],Customers[Region]),"Not found")</f>
        <v>Midwest</v>
      </c>
      <c r="L194" s="29">
        <f>DATE(YEAR(Sales[[#This Row],[Date]]),MONTH(Sales[[#This Row],[Date]]),1)</f>
        <v>45962</v>
      </c>
      <c r="M194" s="24"/>
    </row>
    <row r="195" spans="1:13" ht="16.8" x14ac:dyDescent="0.4">
      <c r="A195" s="30" t="s">
        <v>250</v>
      </c>
      <c r="B195" s="31">
        <v>45973</v>
      </c>
      <c r="C195" s="30" t="s">
        <v>37</v>
      </c>
      <c r="D195" s="30" t="s">
        <v>10</v>
      </c>
      <c r="E195" s="30">
        <v>15</v>
      </c>
      <c r="F195" s="32">
        <f>E195*VLOOKUP(D195,Products!$A$2:$C$7,2,FALSE())</f>
        <v>12750</v>
      </c>
      <c r="G195" s="32">
        <v>9415</v>
      </c>
      <c r="H195" s="30" t="str">
        <f>VLOOKUP(C195,'Customers'!$A$2:$H$41,2,FALSE())</f>
        <v>Ethan Green</v>
      </c>
      <c r="I195" s="30" t="s">
        <v>15</v>
      </c>
      <c r="J195" s="33">
        <f>IFERROR((Sales[[#This Row],[Revenue]]-Sales[[#This Row],[Cost]])/Sales[[#This Row],[Revenue]],0)</f>
        <v>0.26156862745098042</v>
      </c>
      <c r="K195" s="33" t="str">
        <f>_xlfn.IFNA(_xlfn.XLOOKUP(Sales[[#This Row],[Customer ID]],Customers[Customer ID],Customers[Region]),"Not found")</f>
        <v>West</v>
      </c>
      <c r="L195" s="34">
        <f>DATE(YEAR(Sales[[#This Row],[Date]]),MONTH(Sales[[#This Row],[Date]]),1)</f>
        <v>45962</v>
      </c>
      <c r="M195" s="24"/>
    </row>
    <row r="196" spans="1:13" ht="16.8" x14ac:dyDescent="0.4">
      <c r="A196" s="25" t="s">
        <v>251</v>
      </c>
      <c r="B196" s="26">
        <v>45976</v>
      </c>
      <c r="C196" s="25" t="s">
        <v>60</v>
      </c>
      <c r="D196" s="25" t="s">
        <v>14</v>
      </c>
      <c r="E196" s="25">
        <v>5</v>
      </c>
      <c r="F196" s="27">
        <f>E196*VLOOKUP(D196,Products!$A$2:$C$7,2,FALSE())</f>
        <v>6000</v>
      </c>
      <c r="G196" s="27">
        <v>4546</v>
      </c>
      <c r="H196" s="25" t="str">
        <f>VLOOKUP(C196,'Customers'!$A$2:$H$41,2,FALSE())</f>
        <v>Matthew Rodriguez</v>
      </c>
      <c r="I196" s="25" t="s">
        <v>15</v>
      </c>
      <c r="J196" s="28">
        <f>IFERROR((Sales[[#This Row],[Revenue]]-Sales[[#This Row],[Cost]])/Sales[[#This Row],[Revenue]],0)</f>
        <v>0.24233333333333335</v>
      </c>
      <c r="K196" s="28" t="str">
        <f>_xlfn.IFNA(_xlfn.XLOOKUP(Sales[[#This Row],[Customer ID]],Customers[Customer ID],Customers[Region]),"Not found")</f>
        <v>West</v>
      </c>
      <c r="L196" s="29">
        <f>DATE(YEAR(Sales[[#This Row],[Date]]),MONTH(Sales[[#This Row],[Date]]),1)</f>
        <v>45962</v>
      </c>
      <c r="M196" s="24"/>
    </row>
    <row r="197" spans="1:13" ht="16.8" x14ac:dyDescent="0.4">
      <c r="A197" s="30" t="s">
        <v>252</v>
      </c>
      <c r="B197" s="31">
        <v>45985</v>
      </c>
      <c r="C197" s="30" t="s">
        <v>17</v>
      </c>
      <c r="D197" s="30" t="s">
        <v>27</v>
      </c>
      <c r="E197" s="30">
        <v>31</v>
      </c>
      <c r="F197" s="32">
        <f>E197*VLOOKUP(D197,Products!$A$2:$C$7,2,FALSE())</f>
        <v>9300</v>
      </c>
      <c r="G197" s="32">
        <v>6468</v>
      </c>
      <c r="H197" s="30" t="str">
        <f>VLOOKUP(C197,'Customers'!$A$2:$H$41,2,FALSE())</f>
        <v>Kevin Harris</v>
      </c>
      <c r="I197" s="30" t="s">
        <v>11</v>
      </c>
      <c r="J197" s="33">
        <f>IFERROR((Sales[[#This Row],[Revenue]]-Sales[[#This Row],[Cost]])/Sales[[#This Row],[Revenue]],0)</f>
        <v>0.30451612903225805</v>
      </c>
      <c r="K197" s="33" t="str">
        <f>_xlfn.IFNA(_xlfn.XLOOKUP(Sales[[#This Row],[Customer ID]],Customers[Customer ID],Customers[Region]),"Not found")</f>
        <v>South</v>
      </c>
      <c r="L197" s="34">
        <f>DATE(YEAR(Sales[[#This Row],[Date]]),MONTH(Sales[[#This Row],[Date]]),1)</f>
        <v>45962</v>
      </c>
      <c r="M197" s="24"/>
    </row>
    <row r="198" spans="1:13" ht="16.8" x14ac:dyDescent="0.4">
      <c r="A198" s="25" t="s">
        <v>53</v>
      </c>
      <c r="B198" s="26">
        <v>45369</v>
      </c>
      <c r="C198" s="25" t="s">
        <v>42</v>
      </c>
      <c r="D198" s="25" t="s">
        <v>18</v>
      </c>
      <c r="E198" s="25">
        <v>10</v>
      </c>
      <c r="F198" s="27">
        <f>E198*VLOOKUP(D198,Products!$A$2:$C$7,2,FALSE())</f>
        <v>95000</v>
      </c>
      <c r="G198" s="27">
        <v>73814</v>
      </c>
      <c r="H198" s="25" t="str">
        <f>VLOOKUP(C198,'Customers'!$A$2:$H$41,2,FALSE())</f>
        <v>Daniel Miller</v>
      </c>
      <c r="I198" s="25" t="s">
        <v>15</v>
      </c>
      <c r="J198" s="28">
        <f>IFERROR((Sales[[#This Row],[Revenue]]-Sales[[#This Row],[Cost]])/Sales[[#This Row],[Revenue]],0)</f>
        <v>0.22301052631578946</v>
      </c>
      <c r="K198" s="28" t="str">
        <f>_xlfn.IFNA(_xlfn.XLOOKUP(Sales[[#This Row],[Customer ID]],Customers[Customer ID],Customers[Region]),"Not found")</f>
        <v>Midwest</v>
      </c>
      <c r="L198" s="29">
        <f>DATE(YEAR(Sales[[#This Row],[Date]]),MONTH(Sales[[#This Row],[Date]]),1)</f>
        <v>45352</v>
      </c>
      <c r="M198" s="24"/>
    </row>
    <row r="199" spans="1:13" ht="16.8" x14ac:dyDescent="0.4">
      <c r="A199" s="30" t="s">
        <v>254</v>
      </c>
      <c r="B199" s="31">
        <v>45989</v>
      </c>
      <c r="C199" s="30" t="s">
        <v>20</v>
      </c>
      <c r="D199" s="30" t="s">
        <v>24</v>
      </c>
      <c r="E199" s="30">
        <v>30</v>
      </c>
      <c r="F199" s="32">
        <f>E199*VLOOKUP(D199,Products!$A$2:$C$7,2,FALSE())</f>
        <v>13500</v>
      </c>
      <c r="G199" s="32">
        <v>9408</v>
      </c>
      <c r="H199" s="30" t="str">
        <f>VLOOKUP(C199,'Customers'!$A$2:$H$41,2,FALSE())</f>
        <v>Andrew Wilson</v>
      </c>
      <c r="I199" s="30" t="s">
        <v>15</v>
      </c>
      <c r="J199" s="33">
        <f>IFERROR((Sales[[#This Row],[Revenue]]-Sales[[#This Row],[Cost]])/Sales[[#This Row],[Revenue]],0)</f>
        <v>0.30311111111111111</v>
      </c>
      <c r="K199" s="33" t="str">
        <f>_xlfn.IFNA(_xlfn.XLOOKUP(Sales[[#This Row],[Customer ID]],Customers[Customer ID],Customers[Region]),"Not found")</f>
        <v>Northeast</v>
      </c>
      <c r="L199" s="34">
        <f>DATE(YEAR(Sales[[#This Row],[Date]]),MONTH(Sales[[#This Row],[Date]]),1)</f>
        <v>45962</v>
      </c>
      <c r="M199" s="24"/>
    </row>
    <row r="200" spans="1:13" ht="16.8" x14ac:dyDescent="0.4">
      <c r="A200" s="25" t="s">
        <v>255</v>
      </c>
      <c r="B200" s="26">
        <v>45993</v>
      </c>
      <c r="C200" s="25" t="s">
        <v>62</v>
      </c>
      <c r="D200" s="25" t="s">
        <v>18</v>
      </c>
      <c r="E200" s="25">
        <v>4</v>
      </c>
      <c r="F200" s="27">
        <f>E200*VLOOKUP(D200,Products!$A$2:$C$7,2,FALSE())</f>
        <v>38000</v>
      </c>
      <c r="G200" s="27">
        <v>28697</v>
      </c>
      <c r="H200" s="25" t="str">
        <f>VLOOKUP(C200,'Customers'!$A$2:$H$41,2,FALSE())</f>
        <v>Kayla Baker</v>
      </c>
      <c r="I200" s="25" t="s">
        <v>15</v>
      </c>
      <c r="J200" s="28">
        <f>IFERROR((Sales[[#This Row],[Revenue]]-Sales[[#This Row],[Cost]])/Sales[[#This Row],[Revenue]],0)</f>
        <v>0.24481578947368421</v>
      </c>
      <c r="K200" s="28" t="str">
        <f>_xlfn.IFNA(_xlfn.XLOOKUP(Sales[[#This Row],[Customer ID]],Customers[Customer ID],Customers[Region]),"Not found")</f>
        <v>Midwest</v>
      </c>
      <c r="L200" s="29">
        <f>DATE(YEAR(Sales[[#This Row],[Date]]),MONTH(Sales[[#This Row],[Date]]),1)</f>
        <v>45992</v>
      </c>
      <c r="M200" s="24"/>
    </row>
    <row r="201" spans="1:13" ht="16.8" x14ac:dyDescent="0.4">
      <c r="A201" s="30" t="s">
        <v>45</v>
      </c>
      <c r="B201" s="31">
        <v>45357</v>
      </c>
      <c r="C201" s="30" t="s">
        <v>13</v>
      </c>
      <c r="D201" s="30" t="s">
        <v>14</v>
      </c>
      <c r="E201" s="30">
        <v>44</v>
      </c>
      <c r="F201" s="32">
        <f>E201*VLOOKUP(D201,Products!$A$2:$C$7,2,FALSE())</f>
        <v>52800</v>
      </c>
      <c r="G201" s="32">
        <v>38188</v>
      </c>
      <c r="H201" s="30" t="str">
        <f>VLOOKUP(C201,'Customers'!$A$2:$H$41,2,FALSE())</f>
        <v>Zachary Wright</v>
      </c>
      <c r="I201" s="30" t="s">
        <v>15</v>
      </c>
      <c r="J201" s="33">
        <f>IFERROR((Sales[[#This Row],[Revenue]]-Sales[[#This Row],[Cost]])/Sales[[#This Row],[Revenue]],0)</f>
        <v>0.27674242424242423</v>
      </c>
      <c r="K201" s="33" t="str">
        <f>_xlfn.IFNA(_xlfn.XLOOKUP(Sales[[#This Row],[Customer ID]],Customers[Customer ID],Customers[Region]),"Not found")</f>
        <v>Northeast</v>
      </c>
      <c r="L201" s="34">
        <f>DATE(YEAR(Sales[[#This Row],[Date]]),MONTH(Sales[[#This Row],[Date]]),1)</f>
        <v>45352</v>
      </c>
      <c r="M201" s="24"/>
    </row>
    <row r="202" spans="1:13" ht="16.8" x14ac:dyDescent="0.4">
      <c r="A202" s="25" t="s">
        <v>257</v>
      </c>
      <c r="B202" s="26">
        <v>45997</v>
      </c>
      <c r="C202" s="25" t="s">
        <v>69</v>
      </c>
      <c r="D202" s="25" t="s">
        <v>10</v>
      </c>
      <c r="E202" s="25">
        <v>44</v>
      </c>
      <c r="F202" s="27">
        <f>E202*VLOOKUP(D202,Products!$A$2:$C$7,2,FALSE())</f>
        <v>37400</v>
      </c>
      <c r="G202" s="27">
        <v>28674</v>
      </c>
      <c r="H202" s="25" t="str">
        <f>VLOOKUP(C202,'Customers'!$A$2:$H$41,2,FALSE())</f>
        <v>Joshua Thomas</v>
      </c>
      <c r="I202" s="25" t="s">
        <v>15</v>
      </c>
      <c r="J202" s="28">
        <f>IFERROR((Sales[[#This Row],[Revenue]]-Sales[[#This Row],[Cost]])/Sales[[#This Row],[Revenue]],0)</f>
        <v>0.23331550802139037</v>
      </c>
      <c r="K202" s="28" t="str">
        <f>_xlfn.IFNA(_xlfn.XLOOKUP(Sales[[#This Row],[Customer ID]],Customers[Customer ID],Customers[Region]),"Not found")</f>
        <v>West</v>
      </c>
      <c r="L202" s="29">
        <f>DATE(YEAR(Sales[[#This Row],[Date]]),MONTH(Sales[[#This Row],[Date]]),1)</f>
        <v>45992</v>
      </c>
      <c r="M202" s="24"/>
    </row>
    <row r="203" spans="1:13" ht="16.8" x14ac:dyDescent="0.4">
      <c r="A203" s="30" t="s">
        <v>30</v>
      </c>
      <c r="B203" s="31">
        <v>45315</v>
      </c>
      <c r="C203" s="30" t="s">
        <v>31</v>
      </c>
      <c r="D203" s="30" t="s">
        <v>18</v>
      </c>
      <c r="E203" s="30">
        <v>8</v>
      </c>
      <c r="F203" s="32">
        <f>E203*VLOOKUP(D203,Products!$A$2:$C$7,2,FALSE())</f>
        <v>76000</v>
      </c>
      <c r="G203" s="32">
        <v>56380</v>
      </c>
      <c r="H203" s="30" t="str">
        <f>VLOOKUP(C203,'Customers'!$A$2:$H$41,2,FALSE())</f>
        <v>Olivia King</v>
      </c>
      <c r="I203" s="30" t="s">
        <v>11</v>
      </c>
      <c r="J203" s="33">
        <f>IFERROR((Sales[[#This Row],[Revenue]]-Sales[[#This Row],[Cost]])/Sales[[#This Row],[Revenue]],0)</f>
        <v>0.25815789473684209</v>
      </c>
      <c r="K203" s="33" t="str">
        <f>_xlfn.IFNA(_xlfn.XLOOKUP(Sales[[#This Row],[Customer ID]],Customers[Customer ID],Customers[Region]),"Not found")</f>
        <v>Northeast</v>
      </c>
      <c r="L203" s="34">
        <f>DATE(YEAR(Sales[[#This Row],[Date]]),MONTH(Sales[[#This Row],[Date]]),1)</f>
        <v>45292</v>
      </c>
      <c r="M203" s="24"/>
    </row>
    <row r="204" spans="1:13" ht="16.8" x14ac:dyDescent="0.4">
      <c r="A204" s="25" t="s">
        <v>16</v>
      </c>
      <c r="B204" s="26">
        <v>45303</v>
      </c>
      <c r="C204" s="25" t="s">
        <v>17</v>
      </c>
      <c r="D204" s="25" t="s">
        <v>18</v>
      </c>
      <c r="E204" s="25">
        <v>7</v>
      </c>
      <c r="F204" s="27">
        <f>E204*VLOOKUP(D204,Products!$A$2:$C$7,2,FALSE())</f>
        <v>66500</v>
      </c>
      <c r="G204" s="27">
        <v>50602</v>
      </c>
      <c r="H204" s="25" t="str">
        <f>VLOOKUP(C204,'Customers'!$A$2:$H$41,2,FALSE())</f>
        <v>Kevin Harris</v>
      </c>
      <c r="I204" s="25" t="s">
        <v>15</v>
      </c>
      <c r="J204" s="28">
        <f>IFERROR((Sales[[#This Row],[Revenue]]-Sales[[#This Row],[Cost]])/Sales[[#This Row],[Revenue]],0)</f>
        <v>0.23906766917293232</v>
      </c>
      <c r="K204" s="28" t="str">
        <f>_xlfn.IFNA(_xlfn.XLOOKUP(Sales[[#This Row],[Customer ID]],Customers[Customer ID],Customers[Region]),"Not found")</f>
        <v>South</v>
      </c>
      <c r="L204" s="29">
        <f>DATE(YEAR(Sales[[#This Row],[Date]]),MONTH(Sales[[#This Row],[Date]]),1)</f>
        <v>45292</v>
      </c>
      <c r="M204" s="24"/>
    </row>
    <row r="205" spans="1:13" ht="16.8" x14ac:dyDescent="0.4">
      <c r="A205" s="30" t="s">
        <v>260</v>
      </c>
      <c r="B205" s="31">
        <v>46007</v>
      </c>
      <c r="C205" s="30" t="s">
        <v>133</v>
      </c>
      <c r="D205" s="30" t="s">
        <v>24</v>
      </c>
      <c r="E205" s="30">
        <v>43</v>
      </c>
      <c r="F205" s="32">
        <f>E205*VLOOKUP(D205,Products!$A$2:$C$7,2,FALSE())</f>
        <v>19350</v>
      </c>
      <c r="G205" s="32">
        <v>14282</v>
      </c>
      <c r="H205" s="30" t="str">
        <f>VLOOKUP(C205,'Customers'!$A$2:$H$41,2,FALSE())</f>
        <v>Sarah Brown</v>
      </c>
      <c r="I205" s="30" t="s">
        <v>15</v>
      </c>
      <c r="J205" s="33">
        <f>IFERROR((Sales[[#This Row],[Revenue]]-Sales[[#This Row],[Cost]])/Sales[[#This Row],[Revenue]],0)</f>
        <v>0.26191214470284235</v>
      </c>
      <c r="K205" s="33" t="str">
        <f>_xlfn.IFNA(_xlfn.XLOOKUP(Sales[[#This Row],[Customer ID]],Customers[Customer ID],Customers[Region]),"Not found")</f>
        <v>West</v>
      </c>
      <c r="L205" s="34">
        <f>DATE(YEAR(Sales[[#This Row],[Date]]),MONTH(Sales[[#This Row],[Date]]),1)</f>
        <v>45992</v>
      </c>
      <c r="M205" s="24"/>
    </row>
    <row r="206" spans="1:13" ht="17.399999999999999" thickBot="1" x14ac:dyDescent="0.45">
      <c r="A206" s="25" t="s">
        <v>261</v>
      </c>
      <c r="B206" s="26">
        <v>46019</v>
      </c>
      <c r="C206" s="25" t="s">
        <v>13</v>
      </c>
      <c r="D206" s="25" t="s">
        <v>14</v>
      </c>
      <c r="E206" s="25">
        <v>16</v>
      </c>
      <c r="F206" s="27">
        <f>E206*VLOOKUP(D206,Products!$A$2:$C$7,2,FALSE())</f>
        <v>19200</v>
      </c>
      <c r="G206" s="27">
        <v>14450</v>
      </c>
      <c r="H206" s="25" t="str">
        <f>VLOOKUP(C206,'Customers'!$A$2:$H$41,2,FALSE())</f>
        <v>Zachary Wright</v>
      </c>
      <c r="I206" s="25" t="s">
        <v>15</v>
      </c>
      <c r="J206" s="28">
        <f>IFERROR((Sales[[#This Row],[Revenue]]-Sales[[#This Row],[Cost]])/Sales[[#This Row],[Revenue]],0)</f>
        <v>0.24739583333333334</v>
      </c>
      <c r="K206" s="28" t="str">
        <f>_xlfn.IFNA(_xlfn.XLOOKUP(Sales[[#This Row],[Customer ID]],Customers[Customer ID],Customers[Region]),"Not found")</f>
        <v>Northeast</v>
      </c>
      <c r="L206" s="29">
        <f>DATE(YEAR(Sales[[#This Row],[Date]]),MONTH(Sales[[#This Row],[Date]]),1)</f>
        <v>45992</v>
      </c>
      <c r="M206" s="24"/>
    </row>
    <row r="207" spans="1:13" ht="16.8" x14ac:dyDescent="0.4">
      <c r="A207" s="35" t="s">
        <v>391</v>
      </c>
      <c r="B207" s="35"/>
      <c r="C207" s="35"/>
      <c r="D207" s="35"/>
      <c r="E207" s="35"/>
      <c r="F207" s="36">
        <f>SUMIF(Sales[Status],"Closed",Sales[Revenue])</f>
        <v>5316100</v>
      </c>
      <c r="G207" s="35"/>
      <c r="H207" s="35"/>
      <c r="I207" s="35"/>
      <c r="J207" s="37"/>
      <c r="K207" s="37">
        <f>SUBTOTAL(103,Sales[Region])</f>
        <v>205</v>
      </c>
      <c r="L207" s="35"/>
      <c r="M207" s="24"/>
    </row>
    <row r="208" spans="1:13" ht="16.8" x14ac:dyDescent="0.4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</row>
  </sheetData>
  <pageMargins left="0.75" right="0.75" top="1" bottom="1" header="0.511811023622047" footer="0.511811023622047"/>
  <pageSetup paperSize="9" orientation="portrait" horizontalDpi="300" verticalDpi="300"/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zoomScaleNormal="100" workbookViewId="0"/>
  </sheetViews>
  <sheetFormatPr defaultColWidth="8.6640625" defaultRowHeight="14.4" x14ac:dyDescent="0.3"/>
  <cols>
    <col min="1" max="1" width="12" customWidth="1"/>
    <col min="2" max="2" width="20" customWidth="1"/>
    <col min="3" max="3" width="12.6640625" bestFit="1" customWidth="1"/>
    <col min="4" max="4" width="12.44140625" bestFit="1" customWidth="1"/>
    <col min="5" max="5" width="32.21875" bestFit="1" customWidth="1"/>
    <col min="6" max="6" width="13.6640625" bestFit="1" customWidth="1"/>
    <col min="7" max="7" width="11.6640625" bestFit="1" customWidth="1"/>
  </cols>
  <sheetData>
    <row r="1" spans="1:8" x14ac:dyDescent="0.3">
      <c r="A1" s="1" t="s">
        <v>2</v>
      </c>
      <c r="B1" s="1" t="s">
        <v>262</v>
      </c>
      <c r="C1" s="1" t="s">
        <v>392</v>
      </c>
      <c r="D1" s="1" t="s">
        <v>393</v>
      </c>
      <c r="E1" s="1" t="s">
        <v>263</v>
      </c>
      <c r="F1" s="1" t="s">
        <v>264</v>
      </c>
      <c r="G1" s="1" t="s">
        <v>265</v>
      </c>
      <c r="H1" s="1" t="s">
        <v>266</v>
      </c>
    </row>
    <row r="2" spans="1:8" x14ac:dyDescent="0.3">
      <c r="A2" s="2" t="s">
        <v>44</v>
      </c>
      <c r="B2" s="2" t="s">
        <v>267</v>
      </c>
      <c r="C2" s="2" t="str">
        <f>IFERROR(_xlfn.TEXTBEFORE(TRIM(Customers[[#This Row],[Full Name]])," "),TRIM(Customers[[#This Row],[Full Name]]))</f>
        <v>James</v>
      </c>
      <c r="D2" s="2" t="str">
        <f>IFERROR(_xlfn.TEXTAFTER(TRIM(Customers[[#This Row],[Full Name]])," ",-1),"")</f>
        <v>Smith</v>
      </c>
      <c r="E2" s="2" t="s">
        <v>268</v>
      </c>
      <c r="F2" s="2" t="s">
        <v>269</v>
      </c>
      <c r="G2" s="2" t="s">
        <v>270</v>
      </c>
      <c r="H2" s="2" t="s">
        <v>271</v>
      </c>
    </row>
    <row r="3" spans="1:8" x14ac:dyDescent="0.3">
      <c r="A3" s="2" t="s">
        <v>49</v>
      </c>
      <c r="B3" s="2" t="s">
        <v>272</v>
      </c>
      <c r="C3" s="2" t="str">
        <f>IFERROR(_xlfn.TEXTBEFORE(TRIM(Customers[[#This Row],[Full Name]])," "),TRIM(Customers[[#This Row],[Full Name]]))</f>
        <v>Emily</v>
      </c>
      <c r="D3" s="2" t="str">
        <f>IFERROR(_xlfn.TEXTAFTER(TRIM(Customers[[#This Row],[Full Name]])," ",-1),"")</f>
        <v>Johnson</v>
      </c>
      <c r="E3" s="2" t="s">
        <v>273</v>
      </c>
      <c r="F3" s="2"/>
      <c r="G3" s="2" t="s">
        <v>274</v>
      </c>
      <c r="H3" s="2" t="s">
        <v>275</v>
      </c>
    </row>
    <row r="4" spans="1:8" x14ac:dyDescent="0.3">
      <c r="A4" s="2" t="s">
        <v>97</v>
      </c>
      <c r="B4" s="2" t="s">
        <v>276</v>
      </c>
      <c r="C4" s="2" t="str">
        <f>IFERROR(_xlfn.TEXTBEFORE(TRIM(Customers[[#This Row],[Full Name]])," "),TRIM(Customers[[#This Row],[Full Name]]))</f>
        <v>Michael</v>
      </c>
      <c r="D4" s="2" t="str">
        <f>IFERROR(_xlfn.TEXTAFTER(TRIM(Customers[[#This Row],[Full Name]])," ",-1),"")</f>
        <v>Williams</v>
      </c>
      <c r="E4" s="2" t="s">
        <v>277</v>
      </c>
      <c r="F4" s="2" t="s">
        <v>278</v>
      </c>
      <c r="G4" s="2" t="s">
        <v>270</v>
      </c>
      <c r="H4" s="2" t="s">
        <v>271</v>
      </c>
    </row>
    <row r="5" spans="1:8" x14ac:dyDescent="0.3">
      <c r="A5" s="2" t="s">
        <v>133</v>
      </c>
      <c r="B5" s="2" t="s">
        <v>279</v>
      </c>
      <c r="C5" s="2" t="str">
        <f>IFERROR(_xlfn.TEXTBEFORE(TRIM(Customers[[#This Row],[Full Name]])," "),TRIM(Customers[[#This Row],[Full Name]]))</f>
        <v>Sarah</v>
      </c>
      <c r="D5" s="2" t="str">
        <f>IFERROR(_xlfn.TEXTAFTER(TRIM(Customers[[#This Row],[Full Name]])," ",-1),"")</f>
        <v>Brown</v>
      </c>
      <c r="E5" s="2" t="s">
        <v>280</v>
      </c>
      <c r="F5" s="2" t="s">
        <v>281</v>
      </c>
      <c r="G5" s="2" t="s">
        <v>282</v>
      </c>
      <c r="H5" s="2" t="s">
        <v>283</v>
      </c>
    </row>
    <row r="6" spans="1:8" x14ac:dyDescent="0.3">
      <c r="A6" s="2" t="s">
        <v>66</v>
      </c>
      <c r="B6" s="2" t="s">
        <v>284</v>
      </c>
      <c r="C6" s="2" t="str">
        <f>IFERROR(_xlfn.TEXTBEFORE(TRIM(Customers[[#This Row],[Full Name]])," "),TRIM(Customers[[#This Row],[Full Name]]))</f>
        <v>David</v>
      </c>
      <c r="D6" s="2" t="str">
        <f>IFERROR(_xlfn.TEXTAFTER(TRIM(Customers[[#This Row],[Full Name]])," ",-1),"")</f>
        <v>Jones</v>
      </c>
      <c r="E6" s="2" t="s">
        <v>285</v>
      </c>
      <c r="F6" s="2" t="s">
        <v>286</v>
      </c>
      <c r="G6" s="2" t="s">
        <v>274</v>
      </c>
      <c r="H6" s="2" t="s">
        <v>275</v>
      </c>
    </row>
    <row r="7" spans="1:8" x14ac:dyDescent="0.3">
      <c r="A7" s="2" t="s">
        <v>29</v>
      </c>
      <c r="B7" s="2" t="s">
        <v>287</v>
      </c>
      <c r="C7" s="2" t="str">
        <f>IFERROR(_xlfn.TEXTBEFORE(TRIM(Customers[[#This Row],[Full Name]])," "),TRIM(Customers[[#This Row],[Full Name]]))</f>
        <v>Jessica</v>
      </c>
      <c r="D7" s="2" t="str">
        <f>IFERROR(_xlfn.TEXTAFTER(TRIM(Customers[[#This Row],[Full Name]])," ",-1),"")</f>
        <v>Garcia</v>
      </c>
      <c r="E7" s="2" t="s">
        <v>288</v>
      </c>
      <c r="F7" s="2"/>
      <c r="G7" s="2" t="s">
        <v>394</v>
      </c>
      <c r="H7" s="2" t="s">
        <v>289</v>
      </c>
    </row>
    <row r="8" spans="1:8" x14ac:dyDescent="0.3">
      <c r="A8" s="2" t="s">
        <v>42</v>
      </c>
      <c r="B8" s="2" t="s">
        <v>290</v>
      </c>
      <c r="C8" s="2" t="str">
        <f>IFERROR(_xlfn.TEXTBEFORE(TRIM(Customers[[#This Row],[Full Name]])," "),TRIM(Customers[[#This Row],[Full Name]]))</f>
        <v>Daniel</v>
      </c>
      <c r="D8" s="2" t="str">
        <f>IFERROR(_xlfn.TEXTAFTER(TRIM(Customers[[#This Row],[Full Name]])," ",-1),"")</f>
        <v>Miller</v>
      </c>
      <c r="E8" s="2" t="s">
        <v>291</v>
      </c>
      <c r="F8" s="2"/>
      <c r="G8" s="2" t="s">
        <v>270</v>
      </c>
      <c r="H8" s="2" t="s">
        <v>271</v>
      </c>
    </row>
    <row r="9" spans="1:8" x14ac:dyDescent="0.3">
      <c r="A9" s="2" t="s">
        <v>201</v>
      </c>
      <c r="B9" s="2" t="s">
        <v>292</v>
      </c>
      <c r="C9" s="2" t="str">
        <f>IFERROR(_xlfn.TEXTBEFORE(TRIM(Customers[[#This Row],[Full Name]])," "),TRIM(Customers[[#This Row],[Full Name]]))</f>
        <v>Ashley</v>
      </c>
      <c r="D9" s="2" t="str">
        <f>IFERROR(_xlfn.TEXTAFTER(TRIM(Customers[[#This Row],[Full Name]])," ",-1),"")</f>
        <v>Davis</v>
      </c>
      <c r="E9" s="2" t="s">
        <v>293</v>
      </c>
      <c r="F9" s="2" t="s">
        <v>294</v>
      </c>
      <c r="G9" s="2" t="s">
        <v>282</v>
      </c>
      <c r="H9" s="2" t="s">
        <v>283</v>
      </c>
    </row>
    <row r="10" spans="1:8" x14ac:dyDescent="0.3">
      <c r="A10" s="2" t="s">
        <v>60</v>
      </c>
      <c r="B10" s="2" t="s">
        <v>295</v>
      </c>
      <c r="C10" s="2" t="str">
        <f>IFERROR(_xlfn.TEXTBEFORE(TRIM(Customers[[#This Row],[Full Name]])," "),TRIM(Customers[[#This Row],[Full Name]]))</f>
        <v>Matthew</v>
      </c>
      <c r="D10" s="2" t="str">
        <f>IFERROR(_xlfn.TEXTAFTER(TRIM(Customers[[#This Row],[Full Name]])," ",-1),"")</f>
        <v>Rodriguez</v>
      </c>
      <c r="E10" s="2" t="s">
        <v>296</v>
      </c>
      <c r="F10" s="2" t="s">
        <v>297</v>
      </c>
      <c r="G10" s="2" t="s">
        <v>282</v>
      </c>
      <c r="H10" s="2" t="s">
        <v>283</v>
      </c>
    </row>
    <row r="11" spans="1:8" x14ac:dyDescent="0.3">
      <c r="A11" s="2" t="s">
        <v>117</v>
      </c>
      <c r="B11" s="2" t="s">
        <v>298</v>
      </c>
      <c r="C11" s="2" t="str">
        <f>IFERROR(_xlfn.TEXTBEFORE(TRIM(Customers[[#This Row],[Full Name]])," "),TRIM(Customers[[#This Row],[Full Name]]))</f>
        <v>Amanda</v>
      </c>
      <c r="D11" s="2" t="str">
        <f>IFERROR(_xlfn.TEXTAFTER(TRIM(Customers[[#This Row],[Full Name]])," ",-1),"")</f>
        <v>Martinez</v>
      </c>
      <c r="E11" s="2" t="s">
        <v>299</v>
      </c>
      <c r="F11" s="2" t="s">
        <v>300</v>
      </c>
      <c r="G11" s="2" t="s">
        <v>337</v>
      </c>
      <c r="H11" s="2" t="s">
        <v>283</v>
      </c>
    </row>
    <row r="12" spans="1:8" x14ac:dyDescent="0.3">
      <c r="A12" s="2" t="s">
        <v>102</v>
      </c>
      <c r="B12" s="2" t="s">
        <v>301</v>
      </c>
      <c r="C12" s="2" t="str">
        <f>IFERROR(_xlfn.TEXTBEFORE(TRIM(Customers[[#This Row],[Full Name]])," "),TRIM(Customers[[#This Row],[Full Name]]))</f>
        <v>Christopher</v>
      </c>
      <c r="D12" s="2" t="str">
        <f>IFERROR(_xlfn.TEXTAFTER(TRIM(Customers[[#This Row],[Full Name]])," ",-1),"")</f>
        <v>Hernandez</v>
      </c>
      <c r="E12" s="2" t="s">
        <v>302</v>
      </c>
      <c r="F12" s="2" t="s">
        <v>303</v>
      </c>
      <c r="G12" s="2" t="s">
        <v>270</v>
      </c>
      <c r="H12" s="2" t="s">
        <v>271</v>
      </c>
    </row>
    <row r="13" spans="1:8" x14ac:dyDescent="0.3">
      <c r="A13" s="2" t="s">
        <v>79</v>
      </c>
      <c r="B13" s="2" t="s">
        <v>304</v>
      </c>
      <c r="C13" s="2" t="str">
        <f>IFERROR(_xlfn.TEXTBEFORE(TRIM(Customers[[#This Row],[Full Name]])," "),TRIM(Customers[[#This Row],[Full Name]]))</f>
        <v>Jennifer</v>
      </c>
      <c r="D13" s="2" t="str">
        <f>IFERROR(_xlfn.TEXTAFTER(TRIM(Customers[[#This Row],[Full Name]])," ",-1),"")</f>
        <v>Lopez</v>
      </c>
      <c r="E13" s="2" t="s">
        <v>305</v>
      </c>
      <c r="F13" s="2" t="s">
        <v>306</v>
      </c>
      <c r="G13" s="2" t="s">
        <v>307</v>
      </c>
      <c r="H13" s="2" t="s">
        <v>289</v>
      </c>
    </row>
    <row r="14" spans="1:8" x14ac:dyDescent="0.3">
      <c r="A14" s="2" t="s">
        <v>20</v>
      </c>
      <c r="B14" s="2" t="s">
        <v>308</v>
      </c>
      <c r="C14" s="2" t="str">
        <f>IFERROR(_xlfn.TEXTBEFORE(TRIM(Customers[[#This Row],[Full Name]])," "),TRIM(Customers[[#This Row],[Full Name]]))</f>
        <v>Andrew</v>
      </c>
      <c r="D14" s="2" t="str">
        <f>IFERROR(_xlfn.TEXTAFTER(TRIM(Customers[[#This Row],[Full Name]])," ",-1),"")</f>
        <v>Wilson</v>
      </c>
      <c r="E14" s="2" t="s">
        <v>280</v>
      </c>
      <c r="F14" s="2"/>
      <c r="G14" s="2" t="s">
        <v>330</v>
      </c>
      <c r="H14" s="2" t="s">
        <v>275</v>
      </c>
    </row>
    <row r="15" spans="1:8" x14ac:dyDescent="0.3">
      <c r="A15" s="2" t="s">
        <v>138</v>
      </c>
      <c r="B15" s="2" t="s">
        <v>309</v>
      </c>
      <c r="C15" s="2" t="str">
        <f>IFERROR(_xlfn.TEXTBEFORE(TRIM(Customers[[#This Row],[Full Name]])," "),TRIM(Customers[[#This Row],[Full Name]]))</f>
        <v>Megan</v>
      </c>
      <c r="D15" s="2" t="str">
        <f>IFERROR(_xlfn.TEXTAFTER(TRIM(Customers[[#This Row],[Full Name]])," ",-1),"")</f>
        <v>Anderson</v>
      </c>
      <c r="E15" s="2" t="s">
        <v>310</v>
      </c>
      <c r="F15" s="2" t="s">
        <v>311</v>
      </c>
      <c r="G15" s="2" t="s">
        <v>270</v>
      </c>
      <c r="H15" s="2" t="s">
        <v>271</v>
      </c>
    </row>
    <row r="16" spans="1:8" x14ac:dyDescent="0.3">
      <c r="A16" s="2" t="s">
        <v>69</v>
      </c>
      <c r="B16" s="2" t="s">
        <v>312</v>
      </c>
      <c r="C16" s="2" t="str">
        <f>IFERROR(_xlfn.TEXTBEFORE(TRIM(Customers[[#This Row],[Full Name]])," "),TRIM(Customers[[#This Row],[Full Name]]))</f>
        <v>Joshua</v>
      </c>
      <c r="D16" s="2" t="str">
        <f>IFERROR(_xlfn.TEXTAFTER(TRIM(Customers[[#This Row],[Full Name]])," ",-1),"")</f>
        <v>Thomas</v>
      </c>
      <c r="E16" s="2" t="s">
        <v>313</v>
      </c>
      <c r="F16" s="2" t="s">
        <v>314</v>
      </c>
      <c r="G16" s="2" t="s">
        <v>315</v>
      </c>
      <c r="H16" s="2" t="s">
        <v>283</v>
      </c>
    </row>
    <row r="17" spans="1:8" x14ac:dyDescent="0.3">
      <c r="A17" s="2" t="s">
        <v>131</v>
      </c>
      <c r="B17" s="2" t="s">
        <v>316</v>
      </c>
      <c r="C17" s="2" t="str">
        <f>IFERROR(_xlfn.TEXTBEFORE(TRIM(Customers[[#This Row],[Full Name]])," "),TRIM(Customers[[#This Row],[Full Name]]))</f>
        <v>Lauren</v>
      </c>
      <c r="D17" s="2" t="str">
        <f>IFERROR(_xlfn.TEXTAFTER(TRIM(Customers[[#This Row],[Full Name]])," ",-1),"")</f>
        <v>Taylor</v>
      </c>
      <c r="E17" s="2" t="s">
        <v>317</v>
      </c>
      <c r="F17" s="2" t="s">
        <v>318</v>
      </c>
      <c r="G17" s="2" t="s">
        <v>270</v>
      </c>
      <c r="H17" s="2" t="s">
        <v>271</v>
      </c>
    </row>
    <row r="18" spans="1:8" x14ac:dyDescent="0.3">
      <c r="A18" s="2" t="s">
        <v>82</v>
      </c>
      <c r="B18" s="2" t="s">
        <v>319</v>
      </c>
      <c r="C18" s="2" t="str">
        <f>IFERROR(_xlfn.TEXTBEFORE(TRIM(Customers[[#This Row],[Full Name]])," "),TRIM(Customers[[#This Row],[Full Name]]))</f>
        <v>Ryan</v>
      </c>
      <c r="D18" s="2" t="str">
        <f>IFERROR(_xlfn.TEXTAFTER(TRIM(Customers[[#This Row],[Full Name]])," ",-1),"")</f>
        <v>Moore</v>
      </c>
      <c r="E18" s="2" t="s">
        <v>320</v>
      </c>
      <c r="F18" s="2" t="s">
        <v>321</v>
      </c>
      <c r="G18" s="2" t="s">
        <v>307</v>
      </c>
      <c r="H18" s="2" t="s">
        <v>289</v>
      </c>
    </row>
    <row r="19" spans="1:8" x14ac:dyDescent="0.3">
      <c r="A19" s="2" t="s">
        <v>88</v>
      </c>
      <c r="B19" s="2" t="s">
        <v>322</v>
      </c>
      <c r="C19" s="2" t="str">
        <f>IFERROR(_xlfn.TEXTBEFORE(TRIM(Customers[[#This Row],[Full Name]])," "),TRIM(Customers[[#This Row],[Full Name]]))</f>
        <v>Rachel</v>
      </c>
      <c r="D19" s="2" t="str">
        <f>IFERROR(_xlfn.TEXTAFTER(TRIM(Customers[[#This Row],[Full Name]])," ",-1),"")</f>
        <v>Jackson</v>
      </c>
      <c r="E19" s="2" t="s">
        <v>323</v>
      </c>
      <c r="F19" s="2" t="s">
        <v>324</v>
      </c>
      <c r="G19" s="2" t="s">
        <v>337</v>
      </c>
      <c r="H19" s="2" t="s">
        <v>283</v>
      </c>
    </row>
    <row r="20" spans="1:8" x14ac:dyDescent="0.3">
      <c r="A20" s="2" t="s">
        <v>107</v>
      </c>
      <c r="B20" s="2" t="s">
        <v>325</v>
      </c>
      <c r="C20" s="2" t="str">
        <f>IFERROR(_xlfn.TEXTBEFORE(TRIM(Customers[[#This Row],[Full Name]])," "),TRIM(Customers[[#This Row],[Full Name]]))</f>
        <v>Brandon</v>
      </c>
      <c r="D20" s="2" t="str">
        <f>IFERROR(_xlfn.TEXTAFTER(TRIM(Customers[[#This Row],[Full Name]])," ",-1),"")</f>
        <v>Martin</v>
      </c>
      <c r="E20" s="2" t="s">
        <v>326</v>
      </c>
      <c r="F20" s="2"/>
      <c r="G20" s="2" t="s">
        <v>274</v>
      </c>
      <c r="H20" s="2" t="s">
        <v>275</v>
      </c>
    </row>
    <row r="21" spans="1:8" x14ac:dyDescent="0.3">
      <c r="A21" s="2" t="s">
        <v>58</v>
      </c>
      <c r="B21" s="2" t="s">
        <v>327</v>
      </c>
      <c r="C21" s="2" t="str">
        <f>IFERROR(_xlfn.TEXTBEFORE(TRIM(Customers[[#This Row],[Full Name]])," "),TRIM(Customers[[#This Row],[Full Name]]))</f>
        <v>Stephanie</v>
      </c>
      <c r="D21" s="2" t="str">
        <f>IFERROR(_xlfn.TEXTAFTER(TRIM(Customers[[#This Row],[Full Name]])," ",-1),"")</f>
        <v>Lee</v>
      </c>
      <c r="E21" s="2" t="s">
        <v>328</v>
      </c>
      <c r="F21" s="2" t="s">
        <v>329</v>
      </c>
      <c r="G21" s="2" t="s">
        <v>330</v>
      </c>
      <c r="H21" s="2" t="s">
        <v>275</v>
      </c>
    </row>
    <row r="22" spans="1:8" x14ac:dyDescent="0.3">
      <c r="A22" s="2" t="s">
        <v>51</v>
      </c>
      <c r="B22" s="2" t="s">
        <v>331</v>
      </c>
      <c r="C22" s="2" t="str">
        <f>IFERROR(_xlfn.TEXTBEFORE(TRIM(Customers[[#This Row],[Full Name]])," "),TRIM(Customers[[#This Row],[Full Name]]))</f>
        <v>Tyler</v>
      </c>
      <c r="D22" s="2" t="str">
        <f>IFERROR(_xlfn.TEXTAFTER(TRIM(Customers[[#This Row],[Full Name]])," ",-1),"")</f>
        <v>Thompson</v>
      </c>
      <c r="E22" s="2" t="s">
        <v>332</v>
      </c>
      <c r="F22" s="2" t="s">
        <v>333</v>
      </c>
      <c r="G22" s="2" t="s">
        <v>307</v>
      </c>
      <c r="H22" s="2" t="s">
        <v>289</v>
      </c>
    </row>
    <row r="23" spans="1:8" x14ac:dyDescent="0.3">
      <c r="A23" s="2" t="s">
        <v>22</v>
      </c>
      <c r="B23" s="2" t="s">
        <v>334</v>
      </c>
      <c r="C23" s="2" t="str">
        <f>IFERROR(_xlfn.TEXTBEFORE(TRIM(Customers[[#This Row],[Full Name]])," "),TRIM(Customers[[#This Row],[Full Name]]))</f>
        <v>Nicole</v>
      </c>
      <c r="D23" s="2" t="str">
        <f>IFERROR(_xlfn.TEXTAFTER(TRIM(Customers[[#This Row],[Full Name]])," ",-1),"")</f>
        <v>White</v>
      </c>
      <c r="E23" s="2" t="s">
        <v>335</v>
      </c>
      <c r="F23" s="2" t="s">
        <v>336</v>
      </c>
      <c r="G23" s="2" t="s">
        <v>337</v>
      </c>
      <c r="H23" s="2" t="s">
        <v>283</v>
      </c>
    </row>
    <row r="24" spans="1:8" x14ac:dyDescent="0.3">
      <c r="A24" s="2" t="s">
        <v>17</v>
      </c>
      <c r="B24" s="2" t="s">
        <v>338</v>
      </c>
      <c r="C24" s="2" t="str">
        <f>IFERROR(_xlfn.TEXTBEFORE(TRIM(Customers[[#This Row],[Full Name]])," "),TRIM(Customers[[#This Row],[Full Name]]))</f>
        <v>Kevin</v>
      </c>
      <c r="D24" s="2" t="str">
        <f>IFERROR(_xlfn.TEXTAFTER(TRIM(Customers[[#This Row],[Full Name]])," ",-1),"")</f>
        <v>Harris</v>
      </c>
      <c r="E24" s="2" t="s">
        <v>339</v>
      </c>
      <c r="F24" s="2" t="s">
        <v>340</v>
      </c>
      <c r="G24" s="2" t="s">
        <v>394</v>
      </c>
      <c r="H24" s="2" t="s">
        <v>289</v>
      </c>
    </row>
    <row r="25" spans="1:8" x14ac:dyDescent="0.3">
      <c r="A25" s="2" t="s">
        <v>71</v>
      </c>
      <c r="B25" s="2" t="s">
        <v>341</v>
      </c>
      <c r="C25" s="2" t="str">
        <f>IFERROR(_xlfn.TEXTBEFORE(TRIM(Customers[[#This Row],[Full Name]])," "),TRIM(Customers[[#This Row],[Full Name]]))</f>
        <v>Elizabeth</v>
      </c>
      <c r="D25" s="2" t="str">
        <f>IFERROR(_xlfn.TEXTAFTER(TRIM(Customers[[#This Row],[Full Name]])," ",-1),"")</f>
        <v>Clark</v>
      </c>
      <c r="E25" s="2" t="s">
        <v>342</v>
      </c>
      <c r="F25" s="2" t="s">
        <v>343</v>
      </c>
      <c r="G25" s="2" t="s">
        <v>307</v>
      </c>
      <c r="H25" s="2" t="s">
        <v>289</v>
      </c>
    </row>
    <row r="26" spans="1:8" x14ac:dyDescent="0.3">
      <c r="A26" s="2" t="s">
        <v>122</v>
      </c>
      <c r="B26" s="2" t="s">
        <v>344</v>
      </c>
      <c r="C26" s="2" t="str">
        <f>IFERROR(_xlfn.TEXTBEFORE(TRIM(Customers[[#This Row],[Full Name]])," "),TRIM(Customers[[#This Row],[Full Name]]))</f>
        <v>Jacob</v>
      </c>
      <c r="D26" s="2" t="str">
        <f>IFERROR(_xlfn.TEXTAFTER(TRIM(Customers[[#This Row],[Full Name]])," ",-1),"")</f>
        <v>Lewis</v>
      </c>
      <c r="E26" s="2" t="s">
        <v>345</v>
      </c>
      <c r="F26" s="2"/>
      <c r="G26" s="2" t="s">
        <v>337</v>
      </c>
      <c r="H26" s="2" t="s">
        <v>283</v>
      </c>
    </row>
    <row r="27" spans="1:8" x14ac:dyDescent="0.3">
      <c r="A27" s="2" t="s">
        <v>112</v>
      </c>
      <c r="B27" s="2" t="s">
        <v>346</v>
      </c>
      <c r="C27" s="2" t="str">
        <f>IFERROR(_xlfn.TEXTBEFORE(TRIM(Customers[[#This Row],[Full Name]])," "),TRIM(Customers[[#This Row],[Full Name]]))</f>
        <v>Samantha</v>
      </c>
      <c r="D27" s="2" t="str">
        <f>IFERROR(_xlfn.TEXTAFTER(TRIM(Customers[[#This Row],[Full Name]])," ",-1),"")</f>
        <v>Robinson</v>
      </c>
      <c r="E27" s="2" t="s">
        <v>347</v>
      </c>
      <c r="F27" s="2" t="s">
        <v>348</v>
      </c>
      <c r="G27" s="2" t="s">
        <v>274</v>
      </c>
      <c r="H27" s="2" t="s">
        <v>275</v>
      </c>
    </row>
    <row r="28" spans="1:8" x14ac:dyDescent="0.3">
      <c r="A28" s="2" t="s">
        <v>167</v>
      </c>
      <c r="B28" s="2" t="s">
        <v>349</v>
      </c>
      <c r="C28" s="2" t="str">
        <f>IFERROR(_xlfn.TEXTBEFORE(TRIM(Customers[[#This Row],[Full Name]])," "),TRIM(Customers[[#This Row],[Full Name]]))</f>
        <v>Justin</v>
      </c>
      <c r="D28" s="2" t="str">
        <f>IFERROR(_xlfn.TEXTAFTER(TRIM(Customers[[#This Row],[Full Name]])," ",-1),"")</f>
        <v>Walker</v>
      </c>
      <c r="E28" s="2" t="s">
        <v>350</v>
      </c>
      <c r="F28" s="2" t="s">
        <v>351</v>
      </c>
      <c r="G28" s="2" t="s">
        <v>330</v>
      </c>
      <c r="H28" s="2" t="s">
        <v>275</v>
      </c>
    </row>
    <row r="29" spans="1:8" x14ac:dyDescent="0.3">
      <c r="A29" s="2" t="s">
        <v>149</v>
      </c>
      <c r="B29" s="2" t="s">
        <v>352</v>
      </c>
      <c r="C29" s="2" t="str">
        <f>IFERROR(_xlfn.TEXTBEFORE(TRIM(Customers[[#This Row],[Full Name]])," "),TRIM(Customers[[#This Row],[Full Name]]))</f>
        <v>Hannah</v>
      </c>
      <c r="D29" s="2" t="str">
        <f>IFERROR(_xlfn.TEXTAFTER(TRIM(Customers[[#This Row],[Full Name]])," ",-1),"")</f>
        <v>Young</v>
      </c>
      <c r="E29" s="2" t="s">
        <v>299</v>
      </c>
      <c r="F29" s="2"/>
      <c r="G29" s="2" t="s">
        <v>330</v>
      </c>
      <c r="H29" s="2" t="s">
        <v>275</v>
      </c>
    </row>
    <row r="30" spans="1:8" x14ac:dyDescent="0.3">
      <c r="A30" s="2" t="s">
        <v>56</v>
      </c>
      <c r="B30" s="2" t="s">
        <v>353</v>
      </c>
      <c r="C30" s="2" t="str">
        <f>IFERROR(_xlfn.TEXTBEFORE(TRIM(Customers[[#This Row],[Full Name]])," "),TRIM(Customers[[#This Row],[Full Name]]))</f>
        <v>Nathan</v>
      </c>
      <c r="D30" s="2" t="str">
        <f>IFERROR(_xlfn.TEXTAFTER(TRIM(Customers[[#This Row],[Full Name]])," ",-1),"")</f>
        <v>Allen</v>
      </c>
      <c r="E30" s="2" t="s">
        <v>354</v>
      </c>
      <c r="F30" s="2"/>
      <c r="G30" s="2" t="s">
        <v>282</v>
      </c>
      <c r="H30" s="2" t="s">
        <v>283</v>
      </c>
    </row>
    <row r="31" spans="1:8" x14ac:dyDescent="0.3">
      <c r="A31" s="2" t="s">
        <v>31</v>
      </c>
      <c r="B31" s="2" t="s">
        <v>355</v>
      </c>
      <c r="C31" s="2" t="str">
        <f>IFERROR(_xlfn.TEXTBEFORE(TRIM(Customers[[#This Row],[Full Name]])," "),TRIM(Customers[[#This Row],[Full Name]]))</f>
        <v>Olivia</v>
      </c>
      <c r="D31" s="2" t="str">
        <f>IFERROR(_xlfn.TEXTAFTER(TRIM(Customers[[#This Row],[Full Name]])," ",-1),"")</f>
        <v>King</v>
      </c>
      <c r="E31" s="2" t="s">
        <v>356</v>
      </c>
      <c r="F31" s="2"/>
      <c r="G31" s="2" t="s">
        <v>274</v>
      </c>
      <c r="H31" s="2" t="s">
        <v>275</v>
      </c>
    </row>
    <row r="32" spans="1:8" x14ac:dyDescent="0.3">
      <c r="A32" s="2" t="s">
        <v>13</v>
      </c>
      <c r="B32" s="2" t="s">
        <v>357</v>
      </c>
      <c r="C32" s="2" t="str">
        <f>IFERROR(_xlfn.TEXTBEFORE(TRIM(Customers[[#This Row],[Full Name]])," "),TRIM(Customers[[#This Row],[Full Name]]))</f>
        <v>Zachary</v>
      </c>
      <c r="D32" s="2" t="str">
        <f>IFERROR(_xlfn.TEXTAFTER(TRIM(Customers[[#This Row],[Full Name]])," ",-1),"")</f>
        <v>Wright</v>
      </c>
      <c r="E32" s="2" t="s">
        <v>358</v>
      </c>
      <c r="F32" s="2" t="s">
        <v>359</v>
      </c>
      <c r="G32" s="2" t="s">
        <v>274</v>
      </c>
      <c r="H32" s="2" t="s">
        <v>275</v>
      </c>
    </row>
    <row r="33" spans="1:8" x14ac:dyDescent="0.3">
      <c r="A33" s="2" t="s">
        <v>85</v>
      </c>
      <c r="B33" s="2" t="s">
        <v>360</v>
      </c>
      <c r="C33" s="2" t="str">
        <f>IFERROR(_xlfn.TEXTBEFORE(TRIM(Customers[[#This Row],[Full Name]])," "),TRIM(Customers[[#This Row],[Full Name]]))</f>
        <v>Brittany</v>
      </c>
      <c r="D33" s="2" t="str">
        <f>IFERROR(_xlfn.TEXTAFTER(TRIM(Customers[[#This Row],[Full Name]])," ",-1),"")</f>
        <v>Scott</v>
      </c>
      <c r="E33" s="2" t="s">
        <v>361</v>
      </c>
      <c r="F33" s="2" t="s">
        <v>362</v>
      </c>
      <c r="G33" s="2" t="s">
        <v>337</v>
      </c>
      <c r="H33" s="2" t="s">
        <v>283</v>
      </c>
    </row>
    <row r="34" spans="1:8" x14ac:dyDescent="0.3">
      <c r="A34" s="2" t="s">
        <v>37</v>
      </c>
      <c r="B34" s="2" t="s">
        <v>363</v>
      </c>
      <c r="C34" s="2" t="str">
        <f>IFERROR(_xlfn.TEXTBEFORE(TRIM(Customers[[#This Row],[Full Name]])," "),TRIM(Customers[[#This Row],[Full Name]]))</f>
        <v>Ethan</v>
      </c>
      <c r="D34" s="2" t="str">
        <f>IFERROR(_xlfn.TEXTAFTER(TRIM(Customers[[#This Row],[Full Name]])," ",-1),"")</f>
        <v>Green</v>
      </c>
      <c r="E34" s="2" t="s">
        <v>364</v>
      </c>
      <c r="F34" s="2" t="s">
        <v>365</v>
      </c>
      <c r="G34" s="2" t="s">
        <v>315</v>
      </c>
      <c r="H34" s="2" t="s">
        <v>283</v>
      </c>
    </row>
    <row r="35" spans="1:8" x14ac:dyDescent="0.3">
      <c r="A35" s="2" t="s">
        <v>62</v>
      </c>
      <c r="B35" s="2" t="s">
        <v>366</v>
      </c>
      <c r="C35" s="2" t="str">
        <f>IFERROR(_xlfn.TEXTBEFORE(TRIM(Customers[[#This Row],[Full Name]])," "),TRIM(Customers[[#This Row],[Full Name]]))</f>
        <v>Kayla</v>
      </c>
      <c r="D35" s="2" t="str">
        <f>IFERROR(_xlfn.TEXTAFTER(TRIM(Customers[[#This Row],[Full Name]])," ",-1),"")</f>
        <v>Baker</v>
      </c>
      <c r="E35" s="2" t="s">
        <v>367</v>
      </c>
      <c r="F35" s="2"/>
      <c r="G35" s="2" t="s">
        <v>270</v>
      </c>
      <c r="H35" s="2" t="s">
        <v>271</v>
      </c>
    </row>
    <row r="36" spans="1:8" x14ac:dyDescent="0.3">
      <c r="A36" s="2" t="s">
        <v>39</v>
      </c>
      <c r="B36" s="2" t="s">
        <v>368</v>
      </c>
      <c r="C36" s="2" t="str">
        <f>IFERROR(_xlfn.TEXTBEFORE(TRIM(Customers[[#This Row],[Full Name]])," "),TRIM(Customers[[#This Row],[Full Name]]))</f>
        <v>Aaron</v>
      </c>
      <c r="D36" s="2" t="str">
        <f>IFERROR(_xlfn.TEXTAFTER(TRIM(Customers[[#This Row],[Full Name]])," ",-1),"")</f>
        <v>Adams</v>
      </c>
      <c r="E36" s="2" t="s">
        <v>369</v>
      </c>
      <c r="F36" s="2" t="s">
        <v>370</v>
      </c>
      <c r="G36" s="2" t="s">
        <v>274</v>
      </c>
      <c r="H36" s="2" t="s">
        <v>275</v>
      </c>
    </row>
    <row r="37" spans="1:8" x14ac:dyDescent="0.3">
      <c r="A37" s="2" t="s">
        <v>34</v>
      </c>
      <c r="B37" s="2" t="s">
        <v>371</v>
      </c>
      <c r="C37" s="2" t="str">
        <f>IFERROR(_xlfn.TEXTBEFORE(TRIM(Customers[[#This Row],[Full Name]])," "),TRIM(Customers[[#This Row],[Full Name]]))</f>
        <v>Victoria</v>
      </c>
      <c r="D37" s="2" t="str">
        <f>IFERROR(_xlfn.TEXTAFTER(TRIM(Customers[[#This Row],[Full Name]])," ",-1),"")</f>
        <v>Nelson</v>
      </c>
      <c r="E37" s="2" t="s">
        <v>372</v>
      </c>
      <c r="F37" s="2" t="s">
        <v>373</v>
      </c>
      <c r="G37" s="2" t="s">
        <v>274</v>
      </c>
      <c r="H37" s="2" t="s">
        <v>275</v>
      </c>
    </row>
    <row r="38" spans="1:8" x14ac:dyDescent="0.3">
      <c r="A38" s="2" t="s">
        <v>374</v>
      </c>
      <c r="B38" s="2" t="s">
        <v>375</v>
      </c>
      <c r="C38" s="2" t="str">
        <f>IFERROR(_xlfn.TEXTBEFORE(TRIM(Customers[[#This Row],[Full Name]])," "),TRIM(Customers[[#This Row],[Full Name]]))</f>
        <v>Nicholas</v>
      </c>
      <c r="D38" s="2" t="str">
        <f>IFERROR(_xlfn.TEXTAFTER(TRIM(Customers[[#This Row],[Full Name]])," ",-1),"")</f>
        <v>Hill</v>
      </c>
      <c r="E38" s="2" t="s">
        <v>376</v>
      </c>
      <c r="F38" s="2" t="s">
        <v>377</v>
      </c>
      <c r="G38" s="2" t="s">
        <v>337</v>
      </c>
      <c r="H38" s="2" t="s">
        <v>283</v>
      </c>
    </row>
    <row r="39" spans="1:8" x14ac:dyDescent="0.3">
      <c r="A39" s="2" t="s">
        <v>119</v>
      </c>
      <c r="B39" s="2" t="s">
        <v>378</v>
      </c>
      <c r="C39" s="2" t="str">
        <f>IFERROR(_xlfn.TEXTBEFORE(TRIM(Customers[[#This Row],[Full Name]])," "),TRIM(Customers[[#This Row],[Full Name]]))</f>
        <v>Rebecca</v>
      </c>
      <c r="D39" s="2" t="str">
        <f>IFERROR(_xlfn.TEXTAFTER(TRIM(Customers[[#This Row],[Full Name]])," ",-1),"")</f>
        <v>Campbell</v>
      </c>
      <c r="E39" s="2" t="s">
        <v>379</v>
      </c>
      <c r="F39" s="2" t="s">
        <v>380</v>
      </c>
      <c r="G39" s="2" t="s">
        <v>337</v>
      </c>
      <c r="H39" s="2" t="s">
        <v>283</v>
      </c>
    </row>
    <row r="40" spans="1:8" x14ac:dyDescent="0.3">
      <c r="A40" s="2" t="s">
        <v>222</v>
      </c>
      <c r="B40" s="2" t="s">
        <v>381</v>
      </c>
      <c r="C40" s="2" t="str">
        <f>IFERROR(_xlfn.TEXTBEFORE(TRIM(Customers[[#This Row],[Full Name]])," "),TRIM(Customers[[#This Row],[Full Name]]))</f>
        <v>Benjamin</v>
      </c>
      <c r="D40" s="2" t="str">
        <f>IFERROR(_xlfn.TEXTAFTER(TRIM(Customers[[#This Row],[Full Name]])," ",-1),"")</f>
        <v>Mitchell</v>
      </c>
      <c r="E40" s="2" t="s">
        <v>382</v>
      </c>
      <c r="F40" s="2" t="s">
        <v>383</v>
      </c>
      <c r="G40" s="2" t="s">
        <v>330</v>
      </c>
      <c r="H40" s="2" t="s">
        <v>275</v>
      </c>
    </row>
    <row r="41" spans="1:8" x14ac:dyDescent="0.3">
      <c r="A41" s="2" t="s">
        <v>26</v>
      </c>
      <c r="B41" s="2" t="s">
        <v>384</v>
      </c>
      <c r="C41" s="2" t="str">
        <f>IFERROR(_xlfn.TEXTBEFORE(TRIM(Customers[[#This Row],[Full Name]])," "),TRIM(Customers[[#This Row],[Full Name]]))</f>
        <v>Alexis</v>
      </c>
      <c r="D41" s="2" t="str">
        <f>IFERROR(_xlfn.TEXTAFTER(TRIM(Customers[[#This Row],[Full Name]])," ",-1),"")</f>
        <v>Carter</v>
      </c>
      <c r="E41" s="2" t="s">
        <v>385</v>
      </c>
      <c r="F41" s="2" t="s">
        <v>386</v>
      </c>
      <c r="G41" s="2" t="s">
        <v>274</v>
      </c>
      <c r="H41" s="2" t="s">
        <v>275</v>
      </c>
    </row>
  </sheetData>
  <conditionalFormatting sqref="F2:F41">
    <cfRule type="expression" dxfId="0" priority="1">
      <formula>F2=""</formula>
    </cfRule>
  </conditionalFormatting>
  <pageMargins left="0.75" right="0.75" top="1" bottom="1" header="0.511811023622047" footer="0.511811023622047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zoomScaleNormal="100" workbookViewId="0"/>
  </sheetViews>
  <sheetFormatPr defaultColWidth="8.6640625" defaultRowHeight="14.4" x14ac:dyDescent="0.3"/>
  <cols>
    <col min="1" max="1" width="20" customWidth="1"/>
    <col min="2" max="3" width="12" customWidth="1"/>
  </cols>
  <sheetData>
    <row r="1" spans="1:3" x14ac:dyDescent="0.3">
      <c r="A1" s="1" t="s">
        <v>3</v>
      </c>
      <c r="B1" s="1" t="s">
        <v>387</v>
      </c>
      <c r="C1" s="1" t="s">
        <v>388</v>
      </c>
    </row>
    <row r="2" spans="1:3" x14ac:dyDescent="0.3">
      <c r="A2" s="2" t="s">
        <v>52</v>
      </c>
      <c r="B2" s="3">
        <v>1800</v>
      </c>
      <c r="C2" s="3">
        <v>1350</v>
      </c>
    </row>
    <row r="3" spans="1:3" x14ac:dyDescent="0.3">
      <c r="A3" s="2" t="s">
        <v>14</v>
      </c>
      <c r="B3" s="3">
        <v>1200</v>
      </c>
      <c r="C3" s="3">
        <v>900</v>
      </c>
    </row>
    <row r="4" spans="1:3" x14ac:dyDescent="0.3">
      <c r="A4" s="2" t="s">
        <v>24</v>
      </c>
      <c r="B4" s="3">
        <v>450</v>
      </c>
      <c r="C4" s="3">
        <v>320</v>
      </c>
    </row>
    <row r="5" spans="1:3" x14ac:dyDescent="0.3">
      <c r="A5" s="2" t="s">
        <v>18</v>
      </c>
      <c r="B5" s="3">
        <v>9500</v>
      </c>
      <c r="C5" s="3">
        <v>7200</v>
      </c>
    </row>
    <row r="6" spans="1:3" x14ac:dyDescent="0.3">
      <c r="A6" s="2" t="s">
        <v>27</v>
      </c>
      <c r="B6" s="3">
        <v>300</v>
      </c>
      <c r="C6" s="3">
        <v>210</v>
      </c>
    </row>
    <row r="7" spans="1:3" x14ac:dyDescent="0.3">
      <c r="A7" s="2" t="s">
        <v>10</v>
      </c>
      <c r="B7" s="3">
        <v>850</v>
      </c>
      <c r="C7" s="3">
        <v>630</v>
      </c>
    </row>
  </sheetData>
  <pageMargins left="0.75" right="0.75" top="1" bottom="1" header="0.511811023622047" footer="0.511811023622047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E7B4F-9FAD-4724-81B5-0EE6B2F2A160}">
  <dimension ref="A1:Z9"/>
  <sheetViews>
    <sheetView workbookViewId="0"/>
  </sheetViews>
  <sheetFormatPr defaultRowHeight="14.4" x14ac:dyDescent="0.3"/>
  <cols>
    <col min="1" max="1" width="47.44140625" bestFit="1" customWidth="1"/>
    <col min="2" max="2" width="9" bestFit="1" customWidth="1"/>
    <col min="3" max="3" width="8.5546875" bestFit="1" customWidth="1"/>
    <col min="4" max="4" width="8.88671875" bestFit="1" customWidth="1"/>
    <col min="5" max="5" width="8.5546875" bestFit="1" customWidth="1"/>
    <col min="6" max="6" width="9.21875" bestFit="1" customWidth="1"/>
    <col min="7" max="8" width="8.5546875" bestFit="1" customWidth="1"/>
    <col min="9" max="9" width="8.77734375" bestFit="1" customWidth="1"/>
    <col min="10" max="11" width="8.5546875" bestFit="1" customWidth="1"/>
    <col min="12" max="12" width="8.88671875" bestFit="1" customWidth="1"/>
    <col min="13" max="15" width="8.5546875" bestFit="1" customWidth="1"/>
    <col min="16" max="16" width="8.88671875" bestFit="1" customWidth="1"/>
    <col min="17" max="17" width="8.5546875" bestFit="1" customWidth="1"/>
    <col min="18" max="18" width="9.21875" bestFit="1" customWidth="1"/>
    <col min="19" max="20" width="8.5546875" bestFit="1" customWidth="1"/>
    <col min="21" max="21" width="8.77734375" bestFit="1" customWidth="1"/>
    <col min="22" max="23" width="8.5546875" bestFit="1" customWidth="1"/>
    <col min="24" max="24" width="8.88671875" bestFit="1" customWidth="1"/>
    <col min="25" max="25" width="8.5546875" bestFit="1" customWidth="1"/>
    <col min="26" max="26" width="10.77734375" bestFit="1" customWidth="1"/>
  </cols>
  <sheetData>
    <row r="1" spans="1:26" ht="21" x14ac:dyDescent="0.4">
      <c r="A1" s="9" t="s">
        <v>398</v>
      </c>
    </row>
    <row r="3" spans="1:26" x14ac:dyDescent="0.3">
      <c r="A3" s="6" t="s">
        <v>397</v>
      </c>
      <c r="B3" s="6" t="s">
        <v>395</v>
      </c>
      <c r="Z3" s="5"/>
    </row>
    <row r="4" spans="1:26" x14ac:dyDescent="0.3">
      <c r="A4" s="6" t="s">
        <v>266</v>
      </c>
      <c r="B4" s="7">
        <v>45292</v>
      </c>
      <c r="C4" s="7">
        <v>45323</v>
      </c>
      <c r="D4" s="7">
        <v>45352</v>
      </c>
      <c r="E4" s="7">
        <v>45383</v>
      </c>
      <c r="F4" s="7">
        <v>45413</v>
      </c>
      <c r="G4" s="7">
        <v>45444</v>
      </c>
      <c r="H4" s="7">
        <v>45474</v>
      </c>
      <c r="I4" s="7">
        <v>45505</v>
      </c>
      <c r="J4" s="7">
        <v>45536</v>
      </c>
      <c r="K4" s="7">
        <v>45566</v>
      </c>
      <c r="L4" s="7">
        <v>45597</v>
      </c>
      <c r="M4" s="7">
        <v>45627</v>
      </c>
      <c r="N4" s="7">
        <v>45658</v>
      </c>
      <c r="O4" s="7">
        <v>45689</v>
      </c>
      <c r="P4" s="7">
        <v>45717</v>
      </c>
      <c r="Q4" s="7">
        <v>45748</v>
      </c>
      <c r="R4" s="7">
        <v>45778</v>
      </c>
      <c r="S4" s="7">
        <v>45809</v>
      </c>
      <c r="T4" s="7">
        <v>45839</v>
      </c>
      <c r="U4" s="7">
        <v>45870</v>
      </c>
      <c r="V4" s="7">
        <v>45901</v>
      </c>
      <c r="W4" s="7">
        <v>45931</v>
      </c>
      <c r="X4" s="7">
        <v>45962</v>
      </c>
      <c r="Y4" s="7">
        <v>45992</v>
      </c>
      <c r="Z4" s="39" t="s">
        <v>396</v>
      </c>
    </row>
    <row r="5" spans="1:26" x14ac:dyDescent="0.3">
      <c r="A5" t="s">
        <v>271</v>
      </c>
      <c r="B5" s="8"/>
      <c r="C5" s="8">
        <v>32300</v>
      </c>
      <c r="D5" s="8">
        <v>111200</v>
      </c>
      <c r="E5" s="8">
        <v>84450</v>
      </c>
      <c r="F5" s="8">
        <v>12000</v>
      </c>
      <c r="G5" s="8"/>
      <c r="H5" s="8">
        <v>159600</v>
      </c>
      <c r="I5" s="8">
        <v>29800</v>
      </c>
      <c r="J5" s="8">
        <v>3000</v>
      </c>
      <c r="K5" s="8">
        <v>46350</v>
      </c>
      <c r="L5" s="8">
        <v>86400</v>
      </c>
      <c r="M5" s="8"/>
      <c r="N5" s="8"/>
      <c r="O5" s="8">
        <v>123900</v>
      </c>
      <c r="P5" s="8"/>
      <c r="Q5" s="8"/>
      <c r="R5" s="8">
        <v>89100</v>
      </c>
      <c r="S5" s="8">
        <v>52800</v>
      </c>
      <c r="T5" s="8">
        <v>6000</v>
      </c>
      <c r="U5" s="8">
        <v>44700</v>
      </c>
      <c r="V5" s="8"/>
      <c r="W5" s="8">
        <v>44850</v>
      </c>
      <c r="X5" s="8">
        <v>18000</v>
      </c>
      <c r="Y5" s="8">
        <v>99200</v>
      </c>
      <c r="Z5" s="38">
        <v>1043650</v>
      </c>
    </row>
    <row r="6" spans="1:26" x14ac:dyDescent="0.3">
      <c r="A6" t="s">
        <v>275</v>
      </c>
      <c r="B6" s="8">
        <v>178350</v>
      </c>
      <c r="C6" s="8">
        <v>96250</v>
      </c>
      <c r="D6" s="8">
        <v>91950</v>
      </c>
      <c r="E6" s="8">
        <v>103950</v>
      </c>
      <c r="F6" s="8">
        <v>76000</v>
      </c>
      <c r="G6" s="8">
        <v>25200</v>
      </c>
      <c r="H6" s="8">
        <v>52100</v>
      </c>
      <c r="I6" s="8">
        <v>8400</v>
      </c>
      <c r="J6" s="8">
        <v>131850</v>
      </c>
      <c r="K6" s="8">
        <v>190050</v>
      </c>
      <c r="L6" s="8">
        <v>114150</v>
      </c>
      <c r="M6" s="8">
        <v>61200</v>
      </c>
      <c r="N6" s="8">
        <v>153300</v>
      </c>
      <c r="O6" s="8">
        <v>138300</v>
      </c>
      <c r="P6" s="8">
        <v>24650</v>
      </c>
      <c r="Q6" s="8">
        <v>128950</v>
      </c>
      <c r="R6" s="8">
        <v>132700</v>
      </c>
      <c r="S6" s="8">
        <v>39600</v>
      </c>
      <c r="T6" s="8">
        <v>31300</v>
      </c>
      <c r="U6" s="8">
        <v>328350</v>
      </c>
      <c r="V6" s="8">
        <v>132300</v>
      </c>
      <c r="W6" s="8">
        <v>230150</v>
      </c>
      <c r="X6" s="8">
        <v>122800</v>
      </c>
      <c r="Y6" s="8">
        <v>211800</v>
      </c>
      <c r="Z6" s="38">
        <v>2803650</v>
      </c>
    </row>
    <row r="7" spans="1:26" x14ac:dyDescent="0.3">
      <c r="A7" t="s">
        <v>289</v>
      </c>
      <c r="B7" s="8">
        <v>92600</v>
      </c>
      <c r="C7" s="8"/>
      <c r="D7" s="8">
        <v>86400</v>
      </c>
      <c r="E7" s="8"/>
      <c r="F7" s="8">
        <v>22700</v>
      </c>
      <c r="G7" s="8">
        <v>183900</v>
      </c>
      <c r="H7" s="8">
        <v>22200</v>
      </c>
      <c r="I7" s="8">
        <v>25200</v>
      </c>
      <c r="J7" s="8"/>
      <c r="K7" s="8">
        <v>14100</v>
      </c>
      <c r="L7" s="8"/>
      <c r="M7" s="8">
        <v>5850</v>
      </c>
      <c r="N7" s="8">
        <v>108000</v>
      </c>
      <c r="O7" s="8">
        <v>23400</v>
      </c>
      <c r="P7" s="8">
        <v>51600</v>
      </c>
      <c r="Q7" s="8"/>
      <c r="R7" s="8">
        <v>20700</v>
      </c>
      <c r="S7" s="8">
        <v>55200</v>
      </c>
      <c r="T7" s="8">
        <v>19000</v>
      </c>
      <c r="U7" s="8">
        <v>9900</v>
      </c>
      <c r="V7" s="8">
        <v>47400</v>
      </c>
      <c r="W7" s="8">
        <v>185400</v>
      </c>
      <c r="X7" s="8">
        <v>9300</v>
      </c>
      <c r="Y7" s="8"/>
      <c r="Z7" s="38">
        <v>982850</v>
      </c>
    </row>
    <row r="8" spans="1:26" x14ac:dyDescent="0.3">
      <c r="A8" t="s">
        <v>283</v>
      </c>
      <c r="B8" s="8">
        <v>8500</v>
      </c>
      <c r="C8" s="8">
        <v>9000</v>
      </c>
      <c r="D8" s="8">
        <v>38000</v>
      </c>
      <c r="E8" s="8">
        <v>126100</v>
      </c>
      <c r="F8" s="8">
        <v>126550</v>
      </c>
      <c r="G8" s="8">
        <v>150300</v>
      </c>
      <c r="H8" s="8">
        <v>147150</v>
      </c>
      <c r="I8" s="8">
        <v>152250</v>
      </c>
      <c r="J8" s="8">
        <v>318200</v>
      </c>
      <c r="K8" s="8">
        <v>95000</v>
      </c>
      <c r="L8" s="8">
        <v>85500</v>
      </c>
      <c r="M8" s="8">
        <v>249600</v>
      </c>
      <c r="N8" s="8">
        <v>21150</v>
      </c>
      <c r="O8" s="8">
        <v>108100</v>
      </c>
      <c r="P8" s="8">
        <v>413400</v>
      </c>
      <c r="Q8" s="8">
        <v>70000</v>
      </c>
      <c r="R8" s="8">
        <v>131100</v>
      </c>
      <c r="S8" s="8">
        <v>90100</v>
      </c>
      <c r="T8" s="8">
        <v>78600</v>
      </c>
      <c r="U8" s="8">
        <v>85500</v>
      </c>
      <c r="V8" s="8">
        <v>126000</v>
      </c>
      <c r="W8" s="8"/>
      <c r="X8" s="8">
        <v>66250</v>
      </c>
      <c r="Y8" s="8">
        <v>56750</v>
      </c>
      <c r="Z8" s="38">
        <v>2753100</v>
      </c>
    </row>
    <row r="9" spans="1:26" x14ac:dyDescent="0.3">
      <c r="A9" s="5" t="s">
        <v>396</v>
      </c>
      <c r="B9" s="38">
        <v>279450</v>
      </c>
      <c r="C9" s="38">
        <v>137550</v>
      </c>
      <c r="D9" s="38">
        <v>327550</v>
      </c>
      <c r="E9" s="38">
        <v>314500</v>
      </c>
      <c r="F9" s="38">
        <v>237250</v>
      </c>
      <c r="G9" s="38">
        <v>359400</v>
      </c>
      <c r="H9" s="38">
        <v>381050</v>
      </c>
      <c r="I9" s="38">
        <v>215650</v>
      </c>
      <c r="J9" s="38">
        <v>453050</v>
      </c>
      <c r="K9" s="38">
        <v>345500</v>
      </c>
      <c r="L9" s="38">
        <v>286050</v>
      </c>
      <c r="M9" s="38">
        <v>316650</v>
      </c>
      <c r="N9" s="38">
        <v>282450</v>
      </c>
      <c r="O9" s="38">
        <v>393700</v>
      </c>
      <c r="P9" s="38">
        <v>489650</v>
      </c>
      <c r="Q9" s="38">
        <v>198950</v>
      </c>
      <c r="R9" s="38">
        <v>373600</v>
      </c>
      <c r="S9" s="38">
        <v>237700</v>
      </c>
      <c r="T9" s="38">
        <v>134900</v>
      </c>
      <c r="U9" s="38">
        <v>468450</v>
      </c>
      <c r="V9" s="38">
        <v>305700</v>
      </c>
      <c r="W9" s="38">
        <v>460400</v>
      </c>
      <c r="X9" s="38">
        <v>216350</v>
      </c>
      <c r="Y9" s="38">
        <v>367750</v>
      </c>
      <c r="Z9" s="38">
        <v>7583250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6250F-F8F8-4050-90C0-ABD4BBA8C66D}">
  <dimension ref="A1:G18"/>
  <sheetViews>
    <sheetView workbookViewId="0">
      <selection sqref="A1:G1"/>
    </sheetView>
  </sheetViews>
  <sheetFormatPr defaultRowHeight="14.4" x14ac:dyDescent="0.3"/>
  <cols>
    <col min="1" max="1" width="25" customWidth="1"/>
    <col min="2" max="2" width="17.6640625" bestFit="1" customWidth="1"/>
    <col min="3" max="3" width="19" bestFit="1" customWidth="1"/>
    <col min="4" max="4" width="10.33203125" bestFit="1" customWidth="1"/>
    <col min="5" max="5" width="17.21875" bestFit="1" customWidth="1"/>
    <col min="6" max="6" width="18.33203125" bestFit="1" customWidth="1"/>
    <col min="7" max="7" width="15.77734375" bestFit="1" customWidth="1"/>
  </cols>
  <sheetData>
    <row r="1" spans="1:7" ht="23.4" x14ac:dyDescent="0.45">
      <c r="A1" s="40" t="s">
        <v>399</v>
      </c>
      <c r="B1" s="40"/>
      <c r="C1" s="40"/>
      <c r="D1" s="40"/>
      <c r="E1" s="40"/>
      <c r="F1" s="40"/>
      <c r="G1" s="40"/>
    </row>
    <row r="2" spans="1:7" x14ac:dyDescent="0.3">
      <c r="A2" s="41" t="s">
        <v>400</v>
      </c>
      <c r="B2" s="41"/>
      <c r="C2" s="41"/>
      <c r="D2" s="41"/>
      <c r="E2" s="41"/>
      <c r="F2" s="41"/>
      <c r="G2" s="41"/>
    </row>
    <row r="3" spans="1:7" x14ac:dyDescent="0.3">
      <c r="A3" s="11" t="s">
        <v>401</v>
      </c>
      <c r="B3" s="13">
        <v>0.05</v>
      </c>
      <c r="C3" s="10"/>
      <c r="D3" s="10"/>
      <c r="E3" s="10"/>
      <c r="F3" s="10"/>
      <c r="G3" s="10"/>
    </row>
    <row r="4" spans="1:7" x14ac:dyDescent="0.3">
      <c r="A4" s="10"/>
      <c r="B4" s="10"/>
      <c r="C4" s="10"/>
      <c r="D4" s="10"/>
      <c r="E4" s="10"/>
      <c r="F4" s="10"/>
      <c r="G4" s="10"/>
    </row>
    <row r="5" spans="1:7" x14ac:dyDescent="0.3">
      <c r="A5" s="12" t="s">
        <v>402</v>
      </c>
      <c r="B5" s="12" t="s">
        <v>403</v>
      </c>
      <c r="C5" s="12" t="s">
        <v>404</v>
      </c>
      <c r="D5" s="12" t="s">
        <v>405</v>
      </c>
      <c r="E5" s="10"/>
      <c r="F5" s="10"/>
      <c r="G5" s="10"/>
    </row>
    <row r="6" spans="1:7" x14ac:dyDescent="0.3">
      <c r="A6" s="10" t="s">
        <v>397</v>
      </c>
      <c r="B6" s="14">
        <f>SUM(Sales[Revenue])</f>
        <v>7583250</v>
      </c>
      <c r="C6" s="14">
        <f>B6*(1+$B$3)</f>
        <v>7962412.5</v>
      </c>
      <c r="D6" s="15">
        <f>C6-B6</f>
        <v>379162.5</v>
      </c>
      <c r="E6" s="10"/>
      <c r="F6" s="10"/>
      <c r="G6" s="10"/>
    </row>
    <row r="7" spans="1:7" x14ac:dyDescent="0.3">
      <c r="A7" s="10" t="s">
        <v>406</v>
      </c>
      <c r="B7" s="14">
        <f>SUM(Sales[Cost])</f>
        <v>5683163</v>
      </c>
      <c r="C7" s="14">
        <f>B7</f>
        <v>5683163</v>
      </c>
      <c r="D7" s="15">
        <f>C7-B7</f>
        <v>0</v>
      </c>
      <c r="E7" s="10"/>
      <c r="F7" s="10"/>
      <c r="G7" s="10"/>
    </row>
    <row r="8" spans="1:7" x14ac:dyDescent="0.3">
      <c r="A8" s="10" t="s">
        <v>407</v>
      </c>
      <c r="B8" s="14">
        <f>B6-B7</f>
        <v>1900087</v>
      </c>
      <c r="C8" s="14">
        <f>C6-C7</f>
        <v>2279249.5</v>
      </c>
      <c r="D8" s="15">
        <f>C8-B8</f>
        <v>379162.5</v>
      </c>
      <c r="E8" s="10"/>
      <c r="F8" s="10"/>
      <c r="G8" s="10"/>
    </row>
    <row r="9" spans="1:7" x14ac:dyDescent="0.3">
      <c r="A9" s="10" t="s">
        <v>389</v>
      </c>
      <c r="B9" s="16">
        <f>B8/B6</f>
        <v>0.25056367652391787</v>
      </c>
      <c r="C9" s="16">
        <f>C8/C6</f>
        <v>0.28625112049896939</v>
      </c>
      <c r="D9" s="17">
        <f>C9-B9</f>
        <v>3.5687443975051525E-2</v>
      </c>
      <c r="E9" s="10"/>
      <c r="F9" s="10"/>
      <c r="G9" s="10"/>
    </row>
    <row r="10" spans="1:7" x14ac:dyDescent="0.3">
      <c r="A10" s="10"/>
      <c r="B10" s="10"/>
      <c r="C10" s="10"/>
      <c r="D10" s="10"/>
      <c r="E10" s="10"/>
      <c r="F10" s="10"/>
      <c r="G10" s="10"/>
    </row>
    <row r="11" spans="1:7" x14ac:dyDescent="0.3">
      <c r="A11" s="12" t="s">
        <v>3</v>
      </c>
      <c r="B11" s="12" t="s">
        <v>408</v>
      </c>
      <c r="C11" s="12" t="s">
        <v>409</v>
      </c>
      <c r="D11" s="12" t="s">
        <v>410</v>
      </c>
      <c r="E11" s="12" t="s">
        <v>411</v>
      </c>
      <c r="F11" s="12" t="s">
        <v>412</v>
      </c>
      <c r="G11" s="12" t="s">
        <v>413</v>
      </c>
    </row>
    <row r="12" spans="1:7" x14ac:dyDescent="0.3">
      <c r="A12" s="10" t="s">
        <v>52</v>
      </c>
      <c r="B12" s="18">
        <f>_xlfn.XLOOKUP(A12,Products[Product],Products[Unit Price])</f>
        <v>1800</v>
      </c>
      <c r="C12" s="18">
        <f>B12*(1+$B$3)</f>
        <v>1890</v>
      </c>
      <c r="D12" s="19">
        <f>SUMIF(Sales[Product],A12,Sales[Quantity])</f>
        <v>1264</v>
      </c>
      <c r="E12" s="14">
        <f>SUMIF(Sales[Product],A12,Sales[Revenue])</f>
        <v>2275200</v>
      </c>
      <c r="F12" s="14">
        <f>C12*D12</f>
        <v>2388960</v>
      </c>
      <c r="G12" s="14">
        <f>F12-E12</f>
        <v>113760</v>
      </c>
    </row>
    <row r="13" spans="1:7" x14ac:dyDescent="0.3">
      <c r="A13" s="10" t="s">
        <v>14</v>
      </c>
      <c r="B13" s="18">
        <f>_xlfn.XLOOKUP(A13,Products[Product],Products[Unit Price])</f>
        <v>1200</v>
      </c>
      <c r="C13" s="18">
        <f t="shared" ref="C13:C17" si="0">B13*(1+$B$3)</f>
        <v>1260</v>
      </c>
      <c r="D13" s="19">
        <f>SUMIF(Sales[Product],A13,Sales[Quantity])</f>
        <v>1101</v>
      </c>
      <c r="E13" s="14">
        <f>SUMIF(Sales[Product],A13,Sales[Revenue])</f>
        <v>1321200</v>
      </c>
      <c r="F13" s="14">
        <f t="shared" ref="F13:F17" si="1">C13*D13</f>
        <v>1387260</v>
      </c>
      <c r="G13" s="14">
        <f t="shared" ref="G13:G17" si="2">F13-E13</f>
        <v>66060</v>
      </c>
    </row>
    <row r="14" spans="1:7" x14ac:dyDescent="0.3">
      <c r="A14" s="10" t="s">
        <v>24</v>
      </c>
      <c r="B14" s="18">
        <f>_xlfn.XLOOKUP(A14,Products[Product],Products[Unit Price])</f>
        <v>450</v>
      </c>
      <c r="C14" s="18">
        <f t="shared" si="0"/>
        <v>472.5</v>
      </c>
      <c r="D14" s="19">
        <f>SUMIF(Sales[Product],A14,Sales[Quantity])</f>
        <v>1079</v>
      </c>
      <c r="E14" s="14">
        <f>SUMIF(Sales[Product],A14,Sales[Revenue])</f>
        <v>485550</v>
      </c>
      <c r="F14" s="14">
        <f t="shared" si="1"/>
        <v>509827.5</v>
      </c>
      <c r="G14" s="14">
        <f t="shared" si="2"/>
        <v>24277.5</v>
      </c>
    </row>
    <row r="15" spans="1:7" x14ac:dyDescent="0.3">
      <c r="A15" s="10" t="s">
        <v>18</v>
      </c>
      <c r="B15" s="18">
        <f>_xlfn.XLOOKUP(A15,Products[Product],Products[Unit Price])</f>
        <v>9500</v>
      </c>
      <c r="C15" s="18">
        <f t="shared" si="0"/>
        <v>9975</v>
      </c>
      <c r="D15" s="19">
        <f>SUMIF(Sales[Product],A15,Sales[Quantity])</f>
        <v>266</v>
      </c>
      <c r="E15" s="14">
        <f>SUMIF(Sales[Product],A15,Sales[Revenue])</f>
        <v>2527000</v>
      </c>
      <c r="F15" s="14">
        <f t="shared" si="1"/>
        <v>2653350</v>
      </c>
      <c r="G15" s="14">
        <f t="shared" si="2"/>
        <v>126350</v>
      </c>
    </row>
    <row r="16" spans="1:7" x14ac:dyDescent="0.3">
      <c r="A16" s="10" t="s">
        <v>27</v>
      </c>
      <c r="B16" s="18">
        <f>_xlfn.XLOOKUP(A16,Products[Product],Products[Unit Price])</f>
        <v>300</v>
      </c>
      <c r="C16" s="18">
        <f t="shared" si="0"/>
        <v>315</v>
      </c>
      <c r="D16" s="19">
        <f>SUMIF(Sales[Product],A16,Sales[Quantity])</f>
        <v>1100</v>
      </c>
      <c r="E16" s="14">
        <f>SUMIF(Sales[Product],A16,Sales[Revenue])</f>
        <v>330000</v>
      </c>
      <c r="F16" s="14">
        <f t="shared" si="1"/>
        <v>346500</v>
      </c>
      <c r="G16" s="14">
        <f t="shared" si="2"/>
        <v>16500</v>
      </c>
    </row>
    <row r="17" spans="1:7" x14ac:dyDescent="0.3">
      <c r="A17" s="10" t="s">
        <v>10</v>
      </c>
      <c r="B17" s="18">
        <f>_xlfn.XLOOKUP(A17,Products[Product],Products[Unit Price])</f>
        <v>850</v>
      </c>
      <c r="C17" s="18">
        <f t="shared" si="0"/>
        <v>892.5</v>
      </c>
      <c r="D17" s="19">
        <f>SUMIF(Sales[Product],A17,Sales[Quantity])</f>
        <v>758</v>
      </c>
      <c r="E17" s="14">
        <f>SUMIF(Sales[Product],A17,Sales[Revenue])</f>
        <v>644300</v>
      </c>
      <c r="F17" s="14">
        <f t="shared" si="1"/>
        <v>676515</v>
      </c>
      <c r="G17" s="14">
        <f t="shared" si="2"/>
        <v>32215</v>
      </c>
    </row>
    <row r="18" spans="1:7" x14ac:dyDescent="0.3">
      <c r="A18" s="11" t="s">
        <v>390</v>
      </c>
      <c r="B18" s="11"/>
      <c r="C18" s="11"/>
      <c r="D18" s="20">
        <f>SUM(D12:D17)</f>
        <v>5568</v>
      </c>
      <c r="E18" s="21">
        <f>SUM(E12:E17)</f>
        <v>7583250</v>
      </c>
      <c r="F18" s="21">
        <f>SUM(F12:F17)</f>
        <v>7962412.5</v>
      </c>
      <c r="G18" s="21">
        <f>SUM(G12:G17)</f>
        <v>379162.5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615FA-7496-49B4-9360-FA73E8A1AFA8}">
  <dimension ref="A1:H7"/>
  <sheetViews>
    <sheetView workbookViewId="0">
      <selection sqref="A1:H1"/>
    </sheetView>
  </sheetViews>
  <sheetFormatPr defaultRowHeight="14.4" x14ac:dyDescent="0.3"/>
  <cols>
    <col min="1" max="1" width="9.21875" bestFit="1" customWidth="1"/>
    <col min="2" max="2" width="9.88671875" bestFit="1" customWidth="1"/>
  </cols>
  <sheetData>
    <row r="1" spans="1:8" ht="23.4" x14ac:dyDescent="0.45">
      <c r="A1" s="42" t="s">
        <v>414</v>
      </c>
      <c r="B1" s="42"/>
      <c r="C1" s="42"/>
      <c r="D1" s="42"/>
      <c r="E1" s="42"/>
      <c r="F1" s="42"/>
      <c r="G1" s="42"/>
      <c r="H1" s="42"/>
    </row>
    <row r="3" spans="1:8" x14ac:dyDescent="0.3">
      <c r="A3" s="22" t="s">
        <v>266</v>
      </c>
      <c r="B3" s="22" t="s">
        <v>5</v>
      </c>
    </row>
    <row r="4" spans="1:8" x14ac:dyDescent="0.3">
      <c r="A4" t="s">
        <v>275</v>
      </c>
      <c r="B4" s="4">
        <v>1674200</v>
      </c>
    </row>
    <row r="5" spans="1:8" x14ac:dyDescent="0.3">
      <c r="A5" t="s">
        <v>283</v>
      </c>
      <c r="B5" s="4">
        <v>1246950</v>
      </c>
    </row>
    <row r="6" spans="1:8" x14ac:dyDescent="0.3">
      <c r="A6" t="s">
        <v>289</v>
      </c>
      <c r="B6" s="4">
        <v>529900</v>
      </c>
    </row>
    <row r="7" spans="1:8" x14ac:dyDescent="0.3">
      <c r="A7" t="s">
        <v>271</v>
      </c>
      <c r="B7" s="4">
        <v>478550</v>
      </c>
    </row>
  </sheetData>
  <mergeCells count="1">
    <mergeCell ref="A1:H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DE5DA-023A-4E5C-BEB4-4BB24796D80B}">
  <dimension ref="A1:D17"/>
  <sheetViews>
    <sheetView showGridLines="0" workbookViewId="0">
      <selection activeCell="D5" sqref="D5"/>
    </sheetView>
  </sheetViews>
  <sheetFormatPr defaultRowHeight="14.4" x14ac:dyDescent="0.3"/>
  <cols>
    <col min="1" max="1" width="18.5546875" customWidth="1"/>
    <col min="2" max="3" width="17.5546875" customWidth="1"/>
    <col min="4" max="4" width="15.77734375" customWidth="1"/>
  </cols>
  <sheetData>
    <row r="1" spans="1:4" ht="30" customHeight="1" x14ac:dyDescent="0.45">
      <c r="A1" s="40" t="s">
        <v>415</v>
      </c>
      <c r="B1" s="40"/>
      <c r="C1" s="40"/>
      <c r="D1" s="40"/>
    </row>
    <row r="2" spans="1:4" x14ac:dyDescent="0.3">
      <c r="A2" s="43" t="s">
        <v>416</v>
      </c>
      <c r="B2" s="43"/>
      <c r="C2" s="43"/>
      <c r="D2" s="43"/>
    </row>
    <row r="3" spans="1:4" x14ac:dyDescent="0.3">
      <c r="A3" s="10"/>
      <c r="B3" s="10"/>
      <c r="C3" s="10"/>
      <c r="D3" s="10"/>
    </row>
    <row r="4" spans="1:4" x14ac:dyDescent="0.3">
      <c r="A4" s="44" t="s">
        <v>395</v>
      </c>
      <c r="B4" s="44" t="s">
        <v>417</v>
      </c>
      <c r="C4" s="44" t="s">
        <v>418</v>
      </c>
      <c r="D4" s="44" t="s">
        <v>419</v>
      </c>
    </row>
    <row r="5" spans="1:4" x14ac:dyDescent="0.3">
      <c r="A5" s="45" t="s">
        <v>420</v>
      </c>
      <c r="B5" s="46">
        <f>SUMIFS(Sales[Revenue],Sales[Date],"&gt;="&amp;DATE(2024,ROW()-4,1),Sales[Date],"&lt;"&amp;EDATE(DATE(2024,ROW()-4,1),1))</f>
        <v>279450</v>
      </c>
      <c r="C5" s="46">
        <f>SUMIFS(Sales[Revenue],Sales[Date],"&gt;="&amp;DATE(2025,ROW()-4,1),Sales[Date],"&lt;"&amp;EDATE(DATE(2025,ROW()-4,1),1))</f>
        <v>282450</v>
      </c>
      <c r="D5" s="47">
        <f>IFERROR(C5/B5-1,"")</f>
        <v>1.0735373054213682E-2</v>
      </c>
    </row>
    <row r="6" spans="1:4" x14ac:dyDescent="0.3">
      <c r="A6" s="45" t="s">
        <v>421</v>
      </c>
      <c r="B6" s="46">
        <f>SUMIFS(Sales[Revenue],Sales[Date],"&gt;="&amp;DATE(2024,ROW()-4,1),Sales[Date],"&lt;"&amp;EDATE(DATE(2024,ROW()-4,1),1))</f>
        <v>137550</v>
      </c>
      <c r="C6" s="46">
        <f>SUMIFS(Sales[Revenue],Sales[Date],"&gt;="&amp;DATE(2025,ROW()-4,1),Sales[Date],"&lt;"&amp;EDATE(DATE(2025,ROW()-4,1),1))</f>
        <v>393700</v>
      </c>
      <c r="D6" s="47">
        <f t="shared" ref="D6:D17" si="0">IFERROR(C6/B6-1,"")</f>
        <v>1.8622319156670302</v>
      </c>
    </row>
    <row r="7" spans="1:4" x14ac:dyDescent="0.3">
      <c r="A7" s="45" t="s">
        <v>422</v>
      </c>
      <c r="B7" s="46">
        <f>SUMIFS(Sales[Revenue],Sales[Date],"&gt;="&amp;DATE(2024,ROW()-4,1),Sales[Date],"&lt;"&amp;EDATE(DATE(2024,ROW()-4,1),1))</f>
        <v>327550</v>
      </c>
      <c r="C7" s="46">
        <f>SUMIFS(Sales[Revenue],Sales[Date],"&gt;="&amp;DATE(2025,ROW()-4,1),Sales[Date],"&lt;"&amp;EDATE(DATE(2025,ROW()-4,1),1))</f>
        <v>489650</v>
      </c>
      <c r="D7" s="47">
        <f t="shared" si="0"/>
        <v>0.49488627690428943</v>
      </c>
    </row>
    <row r="8" spans="1:4" x14ac:dyDescent="0.3">
      <c r="A8" s="45" t="s">
        <v>423</v>
      </c>
      <c r="B8" s="46">
        <f>SUMIFS(Sales[Revenue],Sales[Date],"&gt;="&amp;DATE(2024,ROW()-4,1),Sales[Date],"&lt;"&amp;EDATE(DATE(2024,ROW()-4,1),1))</f>
        <v>314500</v>
      </c>
      <c r="C8" s="46">
        <f>SUMIFS(Sales[Revenue],Sales[Date],"&gt;="&amp;DATE(2025,ROW()-4,1),Sales[Date],"&lt;"&amp;EDATE(DATE(2025,ROW()-4,1),1))</f>
        <v>198950</v>
      </c>
      <c r="D8" s="47">
        <f t="shared" si="0"/>
        <v>-0.36740858505564389</v>
      </c>
    </row>
    <row r="9" spans="1:4" x14ac:dyDescent="0.3">
      <c r="A9" s="45" t="s">
        <v>424</v>
      </c>
      <c r="B9" s="46">
        <f>SUMIFS(Sales[Revenue],Sales[Date],"&gt;="&amp;DATE(2024,ROW()-4,1),Sales[Date],"&lt;"&amp;EDATE(DATE(2024,ROW()-4,1),1))</f>
        <v>237250</v>
      </c>
      <c r="C9" s="46">
        <f>SUMIFS(Sales[Revenue],Sales[Date],"&gt;="&amp;DATE(2025,ROW()-4,1),Sales[Date],"&lt;"&amp;EDATE(DATE(2025,ROW()-4,1),1))</f>
        <v>373600</v>
      </c>
      <c r="D9" s="47">
        <f t="shared" si="0"/>
        <v>0.5747102212855637</v>
      </c>
    </row>
    <row r="10" spans="1:4" x14ac:dyDescent="0.3">
      <c r="A10" s="45" t="s">
        <v>425</v>
      </c>
      <c r="B10" s="46">
        <f>SUMIFS(Sales[Revenue],Sales[Date],"&gt;="&amp;DATE(2024,ROW()-4,1),Sales[Date],"&lt;"&amp;EDATE(DATE(2024,ROW()-4,1),1))</f>
        <v>359400</v>
      </c>
      <c r="C10" s="46">
        <f>SUMIFS(Sales[Revenue],Sales[Date],"&gt;="&amp;DATE(2025,ROW()-4,1),Sales[Date],"&lt;"&amp;EDATE(DATE(2025,ROW()-4,1),1))</f>
        <v>237700</v>
      </c>
      <c r="D10" s="47">
        <f t="shared" si="0"/>
        <v>-0.33861992209237624</v>
      </c>
    </row>
    <row r="11" spans="1:4" x14ac:dyDescent="0.3">
      <c r="A11" s="45" t="s">
        <v>426</v>
      </c>
      <c r="B11" s="46">
        <f>SUMIFS(Sales[Revenue],Sales[Date],"&gt;="&amp;DATE(2024,ROW()-4,1),Sales[Date],"&lt;"&amp;EDATE(DATE(2024,ROW()-4,1),1))</f>
        <v>381050</v>
      </c>
      <c r="C11" s="46">
        <f>SUMIFS(Sales[Revenue],Sales[Date],"&gt;="&amp;DATE(2025,ROW()-4,1),Sales[Date],"&lt;"&amp;EDATE(DATE(2025,ROW()-4,1),1))</f>
        <v>134900</v>
      </c>
      <c r="D11" s="47">
        <f t="shared" si="0"/>
        <v>-0.6459782180816166</v>
      </c>
    </row>
    <row r="12" spans="1:4" x14ac:dyDescent="0.3">
      <c r="A12" s="45" t="s">
        <v>427</v>
      </c>
      <c r="B12" s="46">
        <f>SUMIFS(Sales[Revenue],Sales[Date],"&gt;="&amp;DATE(2024,ROW()-4,1),Sales[Date],"&lt;"&amp;EDATE(DATE(2024,ROW()-4,1),1))</f>
        <v>215650</v>
      </c>
      <c r="C12" s="46">
        <f>SUMIFS(Sales[Revenue],Sales[Date],"&gt;="&amp;DATE(2025,ROW()-4,1),Sales[Date],"&lt;"&amp;EDATE(DATE(2025,ROW()-4,1),1))</f>
        <v>468450</v>
      </c>
      <c r="D12" s="47">
        <f t="shared" si="0"/>
        <v>1.1722698817528401</v>
      </c>
    </row>
    <row r="13" spans="1:4" x14ac:dyDescent="0.3">
      <c r="A13" s="45" t="s">
        <v>428</v>
      </c>
      <c r="B13" s="46">
        <f>SUMIFS(Sales[Revenue],Sales[Date],"&gt;="&amp;DATE(2024,ROW()-4,1),Sales[Date],"&lt;"&amp;EDATE(DATE(2024,ROW()-4,1),1))</f>
        <v>453050</v>
      </c>
      <c r="C13" s="46">
        <f>SUMIFS(Sales[Revenue],Sales[Date],"&gt;="&amp;DATE(2025,ROW()-4,1),Sales[Date],"&lt;"&amp;EDATE(DATE(2025,ROW()-4,1),1))</f>
        <v>305700</v>
      </c>
      <c r="D13" s="47">
        <f t="shared" si="0"/>
        <v>-0.32524003973071403</v>
      </c>
    </row>
    <row r="14" spans="1:4" x14ac:dyDescent="0.3">
      <c r="A14" s="45" t="s">
        <v>429</v>
      </c>
      <c r="B14" s="46">
        <f>SUMIFS(Sales[Revenue],Sales[Date],"&gt;="&amp;DATE(2024,ROW()-4,1),Sales[Date],"&lt;"&amp;EDATE(DATE(2024,ROW()-4,1),1))</f>
        <v>345500</v>
      </c>
      <c r="C14" s="46">
        <f>SUMIFS(Sales[Revenue],Sales[Date],"&gt;="&amp;DATE(2025,ROW()-4,1),Sales[Date],"&lt;"&amp;EDATE(DATE(2025,ROW()-4,1),1))</f>
        <v>460400</v>
      </c>
      <c r="D14" s="47">
        <f t="shared" si="0"/>
        <v>0.33256150506512294</v>
      </c>
    </row>
    <row r="15" spans="1:4" x14ac:dyDescent="0.3">
      <c r="A15" s="45" t="s">
        <v>430</v>
      </c>
      <c r="B15" s="46">
        <f>SUMIFS(Sales[Revenue],Sales[Date],"&gt;="&amp;DATE(2024,ROW()-4,1),Sales[Date],"&lt;"&amp;EDATE(DATE(2024,ROW()-4,1),1))</f>
        <v>286050</v>
      </c>
      <c r="C15" s="46">
        <f>SUMIFS(Sales[Revenue],Sales[Date],"&gt;="&amp;DATE(2025,ROW()-4,1),Sales[Date],"&lt;"&amp;EDATE(DATE(2025,ROW()-4,1),1))</f>
        <v>216350</v>
      </c>
      <c r="D15" s="47">
        <f t="shared" si="0"/>
        <v>-0.24366369515818909</v>
      </c>
    </row>
    <row r="16" spans="1:4" x14ac:dyDescent="0.3">
      <c r="A16" s="45" t="s">
        <v>431</v>
      </c>
      <c r="B16" s="46">
        <f>SUMIFS(Sales[Revenue],Sales[Date],"&gt;="&amp;DATE(2024,ROW()-4,1),Sales[Date],"&lt;"&amp;EDATE(DATE(2024,ROW()-4,1),1))</f>
        <v>316650</v>
      </c>
      <c r="C16" s="46">
        <f>SUMIFS(Sales[Revenue],Sales[Date],"&gt;="&amp;DATE(2025,ROW()-4,1),Sales[Date],"&lt;"&amp;EDATE(DATE(2025,ROW()-4,1),1))</f>
        <v>367750</v>
      </c>
      <c r="D16" s="47">
        <f t="shared" si="0"/>
        <v>0.16137691457445125</v>
      </c>
    </row>
    <row r="17" spans="1:4" x14ac:dyDescent="0.3">
      <c r="A17" s="48" t="s">
        <v>390</v>
      </c>
      <c r="B17" s="49">
        <f>SUM(B5:B16)</f>
        <v>3653650</v>
      </c>
      <c r="C17" s="49">
        <f>SUM(C5:C16)</f>
        <v>3929600</v>
      </c>
      <c r="D17" s="50">
        <f>IFERROR(C17/B17-1,"")</f>
        <v>7.5527212513513797E-2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Sales</vt:lpstr>
      <vt:lpstr>Customers</vt:lpstr>
      <vt:lpstr>Products</vt:lpstr>
      <vt:lpstr>Revenue Pivot</vt:lpstr>
      <vt:lpstr>Price Sensitivity</vt:lpstr>
      <vt:lpstr>2025 Region Chart</vt:lpstr>
      <vt:lpstr>YoY Sales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Aditi Lundia</cp:lastModifiedBy>
  <cp:revision>0</cp:revision>
  <dcterms:created xsi:type="dcterms:W3CDTF">2026-09-03T17:39:14Z</dcterms:created>
  <dcterms:modified xsi:type="dcterms:W3CDTF">2026-09-03T18:22:10Z</dcterms:modified>
  <dc:language>en-US</dc:language>
</cp:coreProperties>
</file>