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iti\Downloads\"/>
    </mc:Choice>
  </mc:AlternateContent>
  <xr:revisionPtr revIDLastSave="0" documentId="8_{578A5A77-1ADF-434E-B845-B923DEDAE611}" xr6:coauthVersionLast="47" xr6:coauthVersionMax="47" xr10:uidLastSave="{00000000-0000-0000-0000-000000000000}"/>
  <bookViews>
    <workbookView xWindow="-108" yWindow="-108" windowWidth="23256" windowHeight="12456" xr2:uid="{17B87932-4D3D-43C8-A146-AAAB3816AE5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I14" i="1" l="1"/>
  <c r="AI13" i="1"/>
  <c r="AI12" i="1"/>
  <c r="AI11" i="1"/>
  <c r="AI10" i="1"/>
  <c r="AK5" i="1"/>
  <c r="AK6" i="1"/>
  <c r="AK7" i="1"/>
  <c r="AJ5" i="1"/>
  <c r="AJ6" i="1"/>
  <c r="AJ7" i="1"/>
  <c r="AG10" i="1"/>
  <c r="AG9" i="1"/>
  <c r="AG8" i="1"/>
  <c r="AG7" i="1"/>
  <c r="AG6" i="1"/>
  <c r="AG5" i="1"/>
  <c r="AF10" i="1"/>
  <c r="AF9" i="1"/>
  <c r="AF8" i="1"/>
  <c r="AF7" i="1"/>
  <c r="AF6" i="1"/>
  <c r="AF5" i="1"/>
  <c r="AD5" i="1"/>
  <c r="AE5" i="1"/>
  <c r="AD6" i="1"/>
  <c r="AE6" i="1"/>
  <c r="AD7" i="1"/>
  <c r="AE7" i="1"/>
  <c r="AD8" i="1"/>
  <c r="AE8" i="1"/>
  <c r="AD9" i="1"/>
  <c r="AE9" i="1"/>
  <c r="AD10" i="1"/>
  <c r="AE10" i="1"/>
  <c r="V9" i="1"/>
  <c r="W9" i="1"/>
  <c r="X9" i="1"/>
  <c r="Y9" i="1"/>
  <c r="Z9" i="1"/>
  <c r="V8" i="1"/>
  <c r="W8" i="1"/>
  <c r="X8" i="1"/>
  <c r="Y8" i="1"/>
  <c r="Z8" i="1"/>
  <c r="V7" i="1"/>
  <c r="W7" i="1"/>
  <c r="X7" i="1"/>
  <c r="Y7" i="1"/>
  <c r="Z7" i="1"/>
  <c r="V6" i="1"/>
  <c r="W6" i="1"/>
  <c r="X6" i="1"/>
  <c r="Y6" i="1"/>
  <c r="Z6" i="1"/>
  <c r="V5" i="1"/>
  <c r="W5" i="1"/>
  <c r="X5" i="1"/>
  <c r="Y5" i="1"/>
  <c r="Z5" i="1"/>
  <c r="V4" i="1"/>
  <c r="W4" i="1"/>
  <c r="X4" i="1"/>
  <c r="Y4" i="1"/>
  <c r="Z4" i="1"/>
  <c r="W3" i="1"/>
  <c r="X3" i="1"/>
  <c r="Y3" i="1"/>
  <c r="Z3" i="1"/>
  <c r="S7" i="1"/>
  <c r="S6" i="1"/>
  <c r="S5" i="1"/>
  <c r="S4" i="1"/>
  <c r="S3" i="1"/>
  <c r="R7" i="1"/>
  <c r="R6" i="1"/>
  <c r="R5" i="1"/>
  <c r="R4" i="1"/>
  <c r="R3" i="1"/>
  <c r="Q7" i="1"/>
  <c r="Q6" i="1"/>
  <c r="Q5" i="1"/>
  <c r="Q4" i="1"/>
  <c r="Q3" i="1"/>
  <c r="L7" i="1"/>
  <c r="L8" i="1" s="1"/>
  <c r="L9" i="1" s="1"/>
  <c r="N6" i="1"/>
  <c r="N7" i="1" s="1"/>
  <c r="N8" i="1" s="1"/>
  <c r="N9" i="1" s="1"/>
  <c r="M6" i="1"/>
  <c r="M7" i="1" s="1"/>
  <c r="M8" i="1" s="1"/>
  <c r="M9" i="1" s="1"/>
  <c r="L6" i="1"/>
  <c r="N5" i="1"/>
  <c r="M5" i="1"/>
  <c r="L5" i="1"/>
  <c r="L2" i="1"/>
  <c r="I6" i="1"/>
  <c r="I5" i="1"/>
  <c r="I4" i="1"/>
  <c r="I3" i="1"/>
  <c r="I2" i="1"/>
  <c r="G2" i="1"/>
  <c r="H2" i="1" s="1"/>
  <c r="G3" i="1"/>
  <c r="H3" i="1" s="1"/>
  <c r="G4" i="1"/>
  <c r="H4" i="1" s="1"/>
  <c r="G5" i="1"/>
  <c r="H5" i="1" s="1"/>
  <c r="G6" i="1"/>
  <c r="H6" i="1" s="1"/>
</calcChain>
</file>

<file path=xl/sharedStrings.xml><?xml version="1.0" encoding="utf-8"?>
<sst xmlns="http://schemas.openxmlformats.org/spreadsheetml/2006/main" count="57" uniqueCount="50">
  <si>
    <t>Year</t>
  </si>
  <si>
    <t>Revenue</t>
  </si>
  <si>
    <t>COGS</t>
  </si>
  <si>
    <t>Operating Expenses</t>
  </si>
  <si>
    <t>Cash Inflows</t>
  </si>
  <si>
    <t>Cash Outflows</t>
  </si>
  <si>
    <t>Gross Profit</t>
  </si>
  <si>
    <t>Gross Margin</t>
  </si>
  <si>
    <t>Net Cash Flow</t>
  </si>
  <si>
    <t>Revenue Scenarios: 2027–2031</t>
  </si>
  <si>
    <t>Base Revenue (2026)</t>
  </si>
  <si>
    <t>Annual Growth</t>
  </si>
  <si>
    <t>5% Growth</t>
  </si>
  <si>
    <t>10% Growth</t>
  </si>
  <si>
    <t>15% Growth</t>
  </si>
  <si>
    <t>Profit Impact Analysis</t>
  </si>
  <si>
    <t>Scenario</t>
  </si>
  <si>
    <t>Revenue After 5% Decrease</t>
  </si>
  <si>
    <t>Profit After Decrease</t>
  </si>
  <si>
    <t>Change vs. Current Profit</t>
  </si>
  <si>
    <t>Key Financial Ratios</t>
  </si>
  <si>
    <t>Ratio</t>
  </si>
  <si>
    <t>What it shows</t>
  </si>
  <si>
    <t>Revenue Growth</t>
  </si>
  <si>
    <t>COGS Ratio</t>
  </si>
  <si>
    <t>Operating Expense Ratio</t>
  </si>
  <si>
    <t>Operating Margin</t>
  </si>
  <si>
    <t>Net Cash Flow Margin</t>
  </si>
  <si>
    <t>Cash Flow Coverage</t>
  </si>
  <si>
    <t>Annual increase in revenue; higher positive growth indicates expansion.</t>
  </si>
  <si>
    <t>Gross profit retained from each revenue dollar after COGS.</t>
  </si>
  <si>
    <t>Share of revenue consumed by direct costs; lower is generally better.</t>
  </si>
  <si>
    <t>Share of revenue used for operating expenses; lower indicates better cost control.</t>
  </si>
  <si>
    <t>Operating profit retained after COGS and operating expenses.</t>
  </si>
  <si>
    <t>Net cash generated from each revenue dollar based on cash inflows less cash outflows.</t>
  </si>
  <si>
    <t>Ability of cash inflows to cover cash outflows; above 1.00x indicates a cash surplus.</t>
  </si>
  <si>
    <t>N/A</t>
  </si>
  <si>
    <t>Financial Model Summary</t>
  </si>
  <si>
    <t>Historical performance improved across revenue, profitability, and cash generation; the outlook varies materially by growth scenario.</t>
  </si>
  <si>
    <t>Metric</t>
  </si>
  <si>
    <t>Absolute Change</t>
  </si>
  <si>
    <t>% Change</t>
  </si>
  <si>
    <t>Operating Profit</t>
  </si>
  <si>
    <t>2031 Revenue Outlook</t>
  </si>
  <si>
    <t>Growth Rate</t>
  </si>
  <si>
    <t>Projected Revenue</t>
  </si>
  <si>
    <t>Low scenario</t>
  </si>
  <si>
    <t>Base scenario</t>
  </si>
  <si>
    <t>High scenario</t>
  </si>
  <si>
    <t>Main Changes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</si>
</sst>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8" formatCode="&quot;$&quot;#,##0"/>
    <numFmt numFmtId="169" formatCode="&quot;$&quot;#,##0;[Red]\-&quot;$&quot;#,##0"/>
    <numFmt numFmtId="171" formatCode="0.0%"/>
    <numFmt numFmtId="172" formatCode="0.00\x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1"/>
      <color rgb="FFFFFFFF"/>
      <name val="Aptos Narrow"/>
      <family val="2"/>
      <scheme val="minor"/>
    </font>
    <font>
      <b/>
      <sz val="14"/>
      <color rgb="FFFFFFFF"/>
      <name val="Aptos Narrow"/>
      <family val="2"/>
      <scheme val="minor"/>
    </font>
    <font>
      <b/>
      <sz val="16"/>
      <color rgb="FFFFFFFF"/>
      <name val="Aptos Narrow"/>
      <family val="2"/>
      <scheme val="minor"/>
    </font>
    <font>
      <i/>
      <sz val="11"/>
      <color rgb="FF44546A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  <fill>
      <patternFill patternType="solid">
        <fgColor rgb="FFD9EAF7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17365D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rgb="FFD9E2F3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9">
    <xf numFmtId="0" fontId="0" fillId="0" borderId="0" xfId="0"/>
    <xf numFmtId="3" fontId="0" fillId="0" borderId="1" xfId="0" applyNumberFormat="1" applyBorder="1" applyAlignment="1">
      <alignment horizontal="right" vertical="center" wrapText="1"/>
    </xf>
    <xf numFmtId="0" fontId="0" fillId="0" borderId="2" xfId="0" applyBorder="1" applyAlignment="1">
      <alignment vertical="center" wrapText="1"/>
    </xf>
    <xf numFmtId="3" fontId="0" fillId="0" borderId="3" xfId="0" applyNumberFormat="1" applyBorder="1" applyAlignment="1">
      <alignment horizontal="righ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0" fillId="0" borderId="7" xfId="0" applyBorder="1" applyAlignment="1">
      <alignment vertical="center" wrapText="1"/>
    </xf>
    <xf numFmtId="3" fontId="0" fillId="0" borderId="8" xfId="0" applyNumberFormat="1" applyBorder="1" applyAlignment="1">
      <alignment horizontal="right" vertical="center" wrapText="1"/>
    </xf>
    <xf numFmtId="3" fontId="0" fillId="0" borderId="9" xfId="0" applyNumberFormat="1" applyBorder="1" applyAlignment="1">
      <alignment horizontal="right" vertical="center" wrapText="1"/>
    </xf>
    <xf numFmtId="168" fontId="0" fillId="0" borderId="5" xfId="0" applyNumberFormat="1" applyBorder="1" applyAlignment="1">
      <alignment horizontal="right" vertical="center" wrapText="1"/>
    </xf>
    <xf numFmtId="168" fontId="0" fillId="0" borderId="1" xfId="0" applyNumberFormat="1" applyBorder="1" applyAlignment="1">
      <alignment horizontal="right" vertical="center" wrapText="1"/>
    </xf>
    <xf numFmtId="168" fontId="0" fillId="0" borderId="8" xfId="0" applyNumberFormat="1" applyBorder="1" applyAlignment="1">
      <alignment horizontal="right" vertical="center" wrapText="1"/>
    </xf>
    <xf numFmtId="10" fontId="0" fillId="0" borderId="5" xfId="1" applyNumberFormat="1" applyFont="1" applyBorder="1" applyAlignment="1">
      <alignment horizontal="right" vertical="center" wrapText="1"/>
    </xf>
    <xf numFmtId="10" fontId="0" fillId="0" borderId="1" xfId="1" applyNumberFormat="1" applyFont="1" applyBorder="1" applyAlignment="1">
      <alignment horizontal="right" vertical="center" wrapText="1"/>
    </xf>
    <xf numFmtId="10" fontId="0" fillId="0" borderId="8" xfId="1" applyNumberFormat="1" applyFont="1" applyBorder="1" applyAlignment="1">
      <alignment horizontal="right" vertical="center" wrapText="1"/>
    </xf>
    <xf numFmtId="169" fontId="0" fillId="0" borderId="5" xfId="1" applyNumberFormat="1" applyFont="1" applyBorder="1" applyAlignment="1">
      <alignment horizontal="right" vertical="center" wrapText="1"/>
    </xf>
    <xf numFmtId="169" fontId="0" fillId="0" borderId="1" xfId="1" applyNumberFormat="1" applyFont="1" applyBorder="1" applyAlignment="1">
      <alignment horizontal="right" vertical="center" wrapText="1"/>
    </xf>
    <xf numFmtId="169" fontId="0" fillId="0" borderId="8" xfId="1" applyNumberFormat="1" applyFont="1" applyBorder="1" applyAlignment="1">
      <alignment horizontal="right" vertical="center" wrapText="1"/>
    </xf>
    <xf numFmtId="0" fontId="5" fillId="2" borderId="0" xfId="0" applyFont="1" applyFill="1" applyAlignment="1">
      <alignment horizontal="center"/>
    </xf>
    <xf numFmtId="0" fontId="2" fillId="0" borderId="0" xfId="0" applyFont="1"/>
    <xf numFmtId="168" fontId="0" fillId="0" borderId="0" xfId="0" applyNumberFormat="1"/>
    <xf numFmtId="168" fontId="2" fillId="0" borderId="0" xfId="0" applyNumberFormat="1" applyFont="1"/>
    <xf numFmtId="0" fontId="2" fillId="3" borderId="0" xfId="0" applyFont="1" applyFill="1"/>
    <xf numFmtId="9" fontId="2" fillId="3" borderId="0" xfId="0" applyNumberFormat="1" applyFont="1" applyFill="1"/>
    <xf numFmtId="0" fontId="4" fillId="4" borderId="0" xfId="0" applyFont="1" applyFill="1"/>
    <xf numFmtId="0" fontId="4" fillId="4" borderId="0" xfId="0" applyFont="1" applyFill="1" applyAlignment="1">
      <alignment horizontal="center"/>
    </xf>
    <xf numFmtId="0" fontId="0" fillId="0" borderId="0" xfId="0" applyBorder="1" applyAlignment="1">
      <alignment horizontal="center"/>
    </xf>
    <xf numFmtId="168" fontId="0" fillId="0" borderId="0" xfId="0" applyNumberFormat="1" applyBorder="1" applyAlignment="1">
      <alignment horizontal="right"/>
    </xf>
    <xf numFmtId="0" fontId="0" fillId="0" borderId="10" xfId="0" applyBorder="1" applyAlignment="1">
      <alignment horizontal="center"/>
    </xf>
    <xf numFmtId="168" fontId="0" fillId="0" borderId="10" xfId="0" applyNumberFormat="1" applyBorder="1" applyAlignment="1">
      <alignment horizontal="right"/>
    </xf>
    <xf numFmtId="0" fontId="4" fillId="2" borderId="0" xfId="0" applyFont="1" applyFill="1"/>
    <xf numFmtId="1" fontId="2" fillId="3" borderId="0" xfId="0" applyNumberFormat="1" applyFont="1" applyFill="1"/>
    <xf numFmtId="1" fontId="0" fillId="0" borderId="0" xfId="0" applyNumberFormat="1"/>
    <xf numFmtId="0" fontId="2" fillId="0" borderId="0" xfId="0" applyFont="1" applyBorder="1"/>
    <xf numFmtId="171" fontId="0" fillId="0" borderId="0" xfId="0" applyNumberFormat="1" applyBorder="1" applyAlignment="1">
      <alignment horizontal="right"/>
    </xf>
    <xf numFmtId="0" fontId="2" fillId="0" borderId="10" xfId="0" applyFont="1" applyBorder="1"/>
    <xf numFmtId="172" fontId="0" fillId="0" borderId="10" xfId="0" applyNumberFormat="1" applyBorder="1" applyAlignment="1">
      <alignment horizontal="right"/>
    </xf>
    <xf numFmtId="0" fontId="0" fillId="0" borderId="0" xfId="0" applyBorder="1" applyAlignment="1">
      <alignment wrapText="1"/>
    </xf>
    <xf numFmtId="0" fontId="0" fillId="0" borderId="10" xfId="0" applyBorder="1" applyAlignment="1">
      <alignment wrapText="1"/>
    </xf>
    <xf numFmtId="0" fontId="6" fillId="5" borderId="0" xfId="0" applyFont="1" applyFill="1" applyAlignment="1">
      <alignment horizontal="center"/>
    </xf>
    <xf numFmtId="0" fontId="7" fillId="0" borderId="0" xfId="0" applyFont="1"/>
    <xf numFmtId="0" fontId="4" fillId="4" borderId="0" xfId="0" applyFont="1" applyFill="1"/>
    <xf numFmtId="169" fontId="0" fillId="0" borderId="0" xfId="0" applyNumberFormat="1" applyBorder="1" applyAlignment="1">
      <alignment horizontal="right"/>
    </xf>
    <xf numFmtId="169" fontId="0" fillId="0" borderId="10" xfId="0" applyNumberFormat="1" applyBorder="1" applyAlignment="1">
      <alignment horizontal="right"/>
    </xf>
    <xf numFmtId="171" fontId="0" fillId="0" borderId="10" xfId="0" applyNumberFormat="1" applyBorder="1" applyAlignment="1">
      <alignment horizontal="right"/>
    </xf>
    <xf numFmtId="9" fontId="0" fillId="0" borderId="0" xfId="0" applyNumberFormat="1" applyBorder="1" applyAlignment="1">
      <alignment horizontal="right"/>
    </xf>
    <xf numFmtId="9" fontId="0" fillId="0" borderId="10" xfId="0" applyNumberFormat="1" applyBorder="1" applyAlignment="1">
      <alignment horizontal="right"/>
    </xf>
    <xf numFmtId="0" fontId="0" fillId="0" borderId="0" xfId="0" applyAlignment="1">
      <alignment wrapText="1"/>
    </xf>
  </cellXfs>
  <cellStyles count="2">
    <cellStyle name="Normal" xfId="0" builtinId="0"/>
    <cellStyle name="Percent" xfId="1" builtinId="5"/>
  </cellStyles>
  <dxfs count="14">
    <dxf>
      <numFmt numFmtId="169" formatCode="&quot;$&quot;#,##0;[Red]\-&quot;$&quot;#,##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4" formatCode="0.00%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8" formatCode="&quot;$&quot;#,##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right" vertical="center" textRotation="0" wrapText="1" indent="0" justifyLastLine="0" shrinkToFit="0" readingOrder="0"/>
    </dxf>
    <dxf>
      <numFmt numFmtId="3" formatCode="#,##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7E81B5B-D9B1-4EF9-9489-3D87ACB0E75C}" name="Data" displayName="Data" ref="A1:I6" totalsRowShown="0" headerRowDxfId="3" dataDxfId="4" headerRowBorderDxfId="12" tableBorderDxfId="13" totalsRowBorderDxfId="11">
  <tableColumns count="9">
    <tableColumn id="1" xr3:uid="{9C9D69ED-AA0C-457D-BDCB-243B6042A990}" name="Year" dataDxfId="10"/>
    <tableColumn id="2" xr3:uid="{50E9AF40-4B51-49C4-AC3F-6F445B736097}" name="Revenue" dataDxfId="9"/>
    <tableColumn id="3" xr3:uid="{8D77F19C-DF4E-4BD2-AC5C-901214F322DB}" name="COGS" dataDxfId="8"/>
    <tableColumn id="4" xr3:uid="{8CE69C14-AE50-4212-AF87-6C66926F1821}" name="Operating Expenses" dataDxfId="7"/>
    <tableColumn id="5" xr3:uid="{5E9B3F47-DD74-41B2-9A27-BFE4DA1F4D38}" name="Cash Inflows" dataDxfId="6"/>
    <tableColumn id="6" xr3:uid="{C60E3A3A-EE1D-4C24-AA27-6C71ECFA56F7}" name="Cash Outflows" dataDxfId="5"/>
    <tableColumn id="7" xr3:uid="{FECE191B-29DF-4567-A9B7-6762B999BAEE}" name="Gross Profit" dataDxfId="2">
      <calculatedColumnFormula>Data[[#This Row],[Revenue]]-Data[[#This Row],[COGS]]</calculatedColumnFormula>
    </tableColumn>
    <tableColumn id="8" xr3:uid="{7012D6F6-CEAD-4262-ABD3-88F92AB4F607}" name="Gross Margin" dataDxfId="1" dataCellStyle="Percent">
      <calculatedColumnFormula>Data[[#This Row],[Gross Profit]]/Data[[#This Row],[Revenue]]</calculatedColumnFormula>
    </tableColumn>
    <tableColumn id="9" xr3:uid="{BB553D93-6FAB-4198-8894-7FA6B79E5FB1}" name="Net Cash Flow" dataDxfId="0" dataCellStyle="Percent">
      <calculatedColumnFormula>Data[[#This Row],[Cash Inflows]]-Data[[#This Row],[Cash Outflows]]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6F9A63-1EE8-4B7C-8114-1CA8AA0C5694}">
  <dimension ref="A1:AK14"/>
  <sheetViews>
    <sheetView showGridLines="0" tabSelected="1" workbookViewId="0"/>
  </sheetViews>
  <sheetFormatPr defaultRowHeight="14.4" x14ac:dyDescent="0.3"/>
  <cols>
    <col min="1" max="1" width="5" bestFit="1" customWidth="1"/>
    <col min="2" max="2" width="8" bestFit="1" customWidth="1"/>
    <col min="3" max="3" width="7.5546875" bestFit="1" customWidth="1"/>
    <col min="4" max="4" width="17.5546875" bestFit="1" customWidth="1"/>
    <col min="5" max="5" width="11.33203125" bestFit="1" customWidth="1"/>
    <col min="6" max="6" width="12.77734375" bestFit="1" customWidth="1"/>
    <col min="7" max="7" width="8.5546875" bestFit="1" customWidth="1"/>
    <col min="8" max="8" width="7.109375" bestFit="1" customWidth="1"/>
    <col min="9" max="9" width="8.5546875" bestFit="1" customWidth="1"/>
    <col min="11" max="11" width="23.109375" customWidth="1"/>
    <col min="12" max="14" width="16.33203125" customWidth="1"/>
    <col min="16" max="16" width="8.5546875" bestFit="1" customWidth="1"/>
    <col min="17" max="17" width="23.6640625" bestFit="1" customWidth="1"/>
    <col min="18" max="18" width="18.21875" bestFit="1" customWidth="1"/>
    <col min="19" max="19" width="21.5546875" bestFit="1" customWidth="1"/>
    <col min="21" max="21" width="25" customWidth="1"/>
    <col min="22" max="26" width="12.21875" customWidth="1"/>
    <col min="27" max="27" width="46.33203125" customWidth="1"/>
    <col min="29" max="29" width="22.21875" customWidth="1"/>
    <col min="30" max="33" width="15.21875" customWidth="1"/>
    <col min="34" max="34" width="3.33203125" customWidth="1"/>
    <col min="35" max="35" width="20.33203125" customWidth="1"/>
    <col min="36" max="36" width="14.44140625" customWidth="1"/>
    <col min="37" max="37" width="19.44140625" customWidth="1"/>
  </cols>
  <sheetData>
    <row r="1" spans="1:37" ht="28.05" customHeight="1" x14ac:dyDescent="0.4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 t="s">
        <v>5</v>
      </c>
      <c r="G1" s="5" t="s">
        <v>6</v>
      </c>
      <c r="H1" s="5" t="s">
        <v>7</v>
      </c>
      <c r="I1" s="5" t="s">
        <v>8</v>
      </c>
      <c r="K1" s="19" t="s">
        <v>9</v>
      </c>
      <c r="L1" s="19"/>
      <c r="M1" s="19"/>
      <c r="N1" s="19"/>
      <c r="P1" s="31" t="s">
        <v>15</v>
      </c>
      <c r="Q1" s="31"/>
      <c r="R1" s="31"/>
      <c r="S1" s="31"/>
      <c r="U1" s="19" t="s">
        <v>20</v>
      </c>
      <c r="V1" s="19"/>
      <c r="W1" s="19"/>
      <c r="X1" s="19"/>
      <c r="Y1" s="19"/>
      <c r="Z1" s="19"/>
      <c r="AA1" s="19"/>
      <c r="AC1" s="40" t="s">
        <v>37</v>
      </c>
      <c r="AD1" s="40"/>
      <c r="AE1" s="40"/>
      <c r="AF1" s="40"/>
      <c r="AG1" s="40"/>
      <c r="AH1" s="40"/>
      <c r="AI1" s="40"/>
      <c r="AJ1" s="40"/>
      <c r="AK1" s="40"/>
    </row>
    <row r="2" spans="1:37" ht="22.05" customHeight="1" x14ac:dyDescent="0.3">
      <c r="A2" s="2">
        <v>2022</v>
      </c>
      <c r="B2" s="1">
        <v>500000</v>
      </c>
      <c r="C2" s="1">
        <v>300000</v>
      </c>
      <c r="D2" s="1">
        <v>120000</v>
      </c>
      <c r="E2" s="1">
        <v>500000</v>
      </c>
      <c r="F2" s="3">
        <v>420000</v>
      </c>
      <c r="G2" s="10">
        <f>Data[[#This Row],[Revenue]]-Data[[#This Row],[COGS]]</f>
        <v>200000</v>
      </c>
      <c r="H2" s="13">
        <f>Data[[#This Row],[Gross Profit]]/Data[[#This Row],[Revenue]]</f>
        <v>0.4</v>
      </c>
      <c r="I2" s="16">
        <f>Data[[#This Row],[Cash Inflows]]-Data[[#This Row],[Cash Outflows]]</f>
        <v>80000</v>
      </c>
      <c r="K2" s="20" t="s">
        <v>10</v>
      </c>
      <c r="L2" s="22">
        <f>$B$6</f>
        <v>750000</v>
      </c>
      <c r="P2" s="25" t="s">
        <v>16</v>
      </c>
      <c r="Q2" s="25" t="s">
        <v>17</v>
      </c>
      <c r="R2" s="25" t="s">
        <v>18</v>
      </c>
      <c r="S2" s="25" t="s">
        <v>19</v>
      </c>
      <c r="U2" s="26" t="s">
        <v>21</v>
      </c>
      <c r="V2" s="26">
        <v>2022</v>
      </c>
      <c r="W2" s="26">
        <v>2023</v>
      </c>
      <c r="X2" s="26">
        <v>2024</v>
      </c>
      <c r="Y2" s="26">
        <v>2025</v>
      </c>
      <c r="Z2" s="26">
        <v>2026</v>
      </c>
      <c r="AA2" s="26" t="s">
        <v>22</v>
      </c>
      <c r="AC2" s="41" t="s">
        <v>38</v>
      </c>
      <c r="AD2" s="41"/>
      <c r="AE2" s="41"/>
      <c r="AF2" s="41"/>
      <c r="AG2" s="41"/>
      <c r="AH2" s="41"/>
      <c r="AI2" s="41"/>
      <c r="AJ2" s="41"/>
      <c r="AK2" s="41"/>
    </row>
    <row r="3" spans="1:37" ht="28.8" x14ac:dyDescent="0.3">
      <c r="A3" s="2">
        <v>2023</v>
      </c>
      <c r="B3" s="1">
        <v>550000</v>
      </c>
      <c r="C3" s="1">
        <v>325000</v>
      </c>
      <c r="D3" s="1">
        <v>130000</v>
      </c>
      <c r="E3" s="1">
        <v>550000</v>
      </c>
      <c r="F3" s="3">
        <v>455000</v>
      </c>
      <c r="G3" s="11">
        <f>Data[[#This Row],[Revenue]]-Data[[#This Row],[COGS]]</f>
        <v>225000</v>
      </c>
      <c r="H3" s="14">
        <f>Data[[#This Row],[Gross Profit]]/Data[[#This Row],[Revenue]]</f>
        <v>0.40909090909090912</v>
      </c>
      <c r="I3" s="17">
        <f>Data[[#This Row],[Cash Inflows]]-Data[[#This Row],[Cash Outflows]]</f>
        <v>95000</v>
      </c>
      <c r="K3" s="23" t="s">
        <v>11</v>
      </c>
      <c r="L3" s="24">
        <v>0.05</v>
      </c>
      <c r="M3" s="24">
        <v>0.1</v>
      </c>
      <c r="N3" s="24">
        <v>0.15</v>
      </c>
      <c r="P3" s="32">
        <v>2027</v>
      </c>
      <c r="Q3" s="21">
        <f>L5*0.95</f>
        <v>748125</v>
      </c>
      <c r="R3" s="21">
        <f>Q3-$C$6</f>
        <v>323125</v>
      </c>
      <c r="S3" s="21">
        <f>L5-$C$6-R3</f>
        <v>39375</v>
      </c>
      <c r="U3" s="34" t="s">
        <v>23</v>
      </c>
      <c r="V3" s="35" t="s">
        <v>36</v>
      </c>
      <c r="W3" s="35">
        <f>B3/B2-1</f>
        <v>0.10000000000000009</v>
      </c>
      <c r="X3" s="35">
        <f>B4/B3-1</f>
        <v>0.10909090909090913</v>
      </c>
      <c r="Y3" s="35">
        <f>B5/B4-1</f>
        <v>0.11475409836065564</v>
      </c>
      <c r="Z3" s="35">
        <f>B6/B5-1</f>
        <v>0.10294117647058831</v>
      </c>
      <c r="AA3" s="38" t="s">
        <v>29</v>
      </c>
    </row>
    <row r="4" spans="1:37" ht="28.8" x14ac:dyDescent="0.3">
      <c r="A4" s="2">
        <v>2024</v>
      </c>
      <c r="B4" s="1">
        <v>610000</v>
      </c>
      <c r="C4" s="1">
        <v>350000</v>
      </c>
      <c r="D4" s="1">
        <v>145000</v>
      </c>
      <c r="E4" s="1">
        <v>610000</v>
      </c>
      <c r="F4" s="3">
        <v>490000</v>
      </c>
      <c r="G4" s="11">
        <f>Data[[#This Row],[Revenue]]-Data[[#This Row],[COGS]]</f>
        <v>260000</v>
      </c>
      <c r="H4" s="14">
        <f>Data[[#This Row],[Gross Profit]]/Data[[#This Row],[Revenue]]</f>
        <v>0.42622950819672129</v>
      </c>
      <c r="I4" s="17">
        <f>Data[[#This Row],[Cash Inflows]]-Data[[#This Row],[Cash Outflows]]</f>
        <v>120000</v>
      </c>
      <c r="K4" s="26" t="s">
        <v>0</v>
      </c>
      <c r="L4" s="26" t="s">
        <v>12</v>
      </c>
      <c r="M4" s="26" t="s">
        <v>13</v>
      </c>
      <c r="N4" s="26" t="s">
        <v>14</v>
      </c>
      <c r="P4" s="33">
        <v>2028</v>
      </c>
      <c r="Q4" s="21">
        <f>L6*0.95</f>
        <v>785531.25</v>
      </c>
      <c r="R4" s="21">
        <f>Q4-$C$6</f>
        <v>360531.25</v>
      </c>
      <c r="S4" s="21">
        <f>L6-$C$6-R4</f>
        <v>41343.75</v>
      </c>
      <c r="U4" s="34" t="s">
        <v>7</v>
      </c>
      <c r="V4" s="35">
        <f>G2/B2</f>
        <v>0.4</v>
      </c>
      <c r="W4" s="35">
        <f>G3/B3</f>
        <v>0.40909090909090912</v>
      </c>
      <c r="X4" s="35">
        <f>G4/B4</f>
        <v>0.42622950819672129</v>
      </c>
      <c r="Y4" s="35">
        <f>G5/B5</f>
        <v>0.4264705882352941</v>
      </c>
      <c r="Z4" s="35">
        <f>G6/B6</f>
        <v>0.43333333333333335</v>
      </c>
      <c r="AA4" s="38" t="s">
        <v>30</v>
      </c>
      <c r="AC4" s="25" t="s">
        <v>39</v>
      </c>
      <c r="AD4" s="25">
        <v>2022</v>
      </c>
      <c r="AE4" s="25">
        <v>2026</v>
      </c>
      <c r="AF4" s="25" t="s">
        <v>40</v>
      </c>
      <c r="AG4" s="25" t="s">
        <v>41</v>
      </c>
      <c r="AI4" s="25" t="s">
        <v>43</v>
      </c>
      <c r="AJ4" s="25" t="s">
        <v>44</v>
      </c>
      <c r="AK4" s="25" t="s">
        <v>45</v>
      </c>
    </row>
    <row r="5" spans="1:37" ht="28.8" x14ac:dyDescent="0.3">
      <c r="A5" s="2">
        <v>2025</v>
      </c>
      <c r="B5" s="1">
        <v>680000</v>
      </c>
      <c r="C5" s="1">
        <v>390000</v>
      </c>
      <c r="D5" s="1">
        <v>155000</v>
      </c>
      <c r="E5" s="1">
        <v>680000</v>
      </c>
      <c r="F5" s="3">
        <v>530000</v>
      </c>
      <c r="G5" s="11">
        <f>Data[[#This Row],[Revenue]]-Data[[#This Row],[COGS]]</f>
        <v>290000</v>
      </c>
      <c r="H5" s="14">
        <f>Data[[#This Row],[Gross Profit]]/Data[[#This Row],[Revenue]]</f>
        <v>0.4264705882352941</v>
      </c>
      <c r="I5" s="17">
        <f>Data[[#This Row],[Cash Inflows]]-Data[[#This Row],[Cash Outflows]]</f>
        <v>150000</v>
      </c>
      <c r="K5" s="27">
        <v>2027</v>
      </c>
      <c r="L5" s="28">
        <f>$L$2*(1+L$3)</f>
        <v>787500</v>
      </c>
      <c r="M5" s="28">
        <f t="shared" ref="M5:N5" si="0">$L$2*(1+M$3)</f>
        <v>825000.00000000012</v>
      </c>
      <c r="N5" s="28">
        <f t="shared" si="0"/>
        <v>862499.99999999988</v>
      </c>
      <c r="P5" s="33">
        <v>2029</v>
      </c>
      <c r="Q5" s="21">
        <f>L7*0.95</f>
        <v>824807.8125</v>
      </c>
      <c r="R5" s="21">
        <f>Q5-$C$6</f>
        <v>399807.8125</v>
      </c>
      <c r="S5" s="21">
        <f>L7-$C$6-R5</f>
        <v>43410.9375</v>
      </c>
      <c r="U5" s="34" t="s">
        <v>24</v>
      </c>
      <c r="V5" s="35">
        <f>C2/B2</f>
        <v>0.6</v>
      </c>
      <c r="W5" s="35">
        <f>C3/B3</f>
        <v>0.59090909090909094</v>
      </c>
      <c r="X5" s="35">
        <f>C4/B4</f>
        <v>0.57377049180327866</v>
      </c>
      <c r="Y5" s="35">
        <f>C5/B5</f>
        <v>0.57352941176470584</v>
      </c>
      <c r="Z5" s="35">
        <f>C6/B6</f>
        <v>0.56666666666666665</v>
      </c>
      <c r="AA5" s="38" t="s">
        <v>31</v>
      </c>
      <c r="AC5" s="34" t="s">
        <v>1</v>
      </c>
      <c r="AD5" s="28">
        <f>B2</f>
        <v>500000</v>
      </c>
      <c r="AE5" s="28">
        <f>B6</f>
        <v>750000</v>
      </c>
      <c r="AF5" s="43">
        <f>AE5-AD5</f>
        <v>250000</v>
      </c>
      <c r="AG5" s="35">
        <f>IFERROR(AF5/AD5,0)</f>
        <v>0.5</v>
      </c>
      <c r="AI5" s="34" t="s">
        <v>46</v>
      </c>
      <c r="AJ5" s="46">
        <f>L3</f>
        <v>0.05</v>
      </c>
      <c r="AK5" s="28">
        <f>L9</f>
        <v>957211.171875</v>
      </c>
    </row>
    <row r="6" spans="1:37" ht="28.8" x14ac:dyDescent="0.3">
      <c r="A6" s="7">
        <v>2026</v>
      </c>
      <c r="B6" s="8">
        <v>750000</v>
      </c>
      <c r="C6" s="8">
        <v>425000</v>
      </c>
      <c r="D6" s="8">
        <v>170000</v>
      </c>
      <c r="E6" s="8">
        <v>750000</v>
      </c>
      <c r="F6" s="9">
        <v>575000</v>
      </c>
      <c r="G6" s="12">
        <f>Data[[#This Row],[Revenue]]-Data[[#This Row],[COGS]]</f>
        <v>325000</v>
      </c>
      <c r="H6" s="15">
        <f>Data[[#This Row],[Gross Profit]]/Data[[#This Row],[Revenue]]</f>
        <v>0.43333333333333335</v>
      </c>
      <c r="I6" s="18">
        <f>Data[[#This Row],[Cash Inflows]]-Data[[#This Row],[Cash Outflows]]</f>
        <v>175000</v>
      </c>
      <c r="K6" s="27">
        <v>2028</v>
      </c>
      <c r="L6" s="28">
        <f>L5*(1+L$3)</f>
        <v>826875</v>
      </c>
      <c r="M6" s="28">
        <f t="shared" ref="M6:M9" si="1">M5*(1+M$3)</f>
        <v>907500.00000000023</v>
      </c>
      <c r="N6" s="28">
        <f t="shared" ref="N6:N9" si="2">N5*(1+N$3)</f>
        <v>991874.99999999977</v>
      </c>
      <c r="P6" s="33">
        <v>2030</v>
      </c>
      <c r="Q6" s="21">
        <f>L8*0.95</f>
        <v>866048.203125</v>
      </c>
      <c r="R6" s="21">
        <f>Q6-$C$6</f>
        <v>441048.203125</v>
      </c>
      <c r="S6" s="21">
        <f>L8-$C$6-R6</f>
        <v>45581.484375</v>
      </c>
      <c r="U6" s="34" t="s">
        <v>25</v>
      </c>
      <c r="V6" s="35">
        <f>D2/B2</f>
        <v>0.24</v>
      </c>
      <c r="W6" s="35">
        <f>D3/B3</f>
        <v>0.23636363636363636</v>
      </c>
      <c r="X6" s="35">
        <f>D4/B4</f>
        <v>0.23770491803278687</v>
      </c>
      <c r="Y6" s="35">
        <f>D5/B5</f>
        <v>0.22794117647058823</v>
      </c>
      <c r="Z6" s="35">
        <f>D6/B6</f>
        <v>0.22666666666666666</v>
      </c>
      <c r="AA6" s="38" t="s">
        <v>32</v>
      </c>
      <c r="AC6" s="34" t="s">
        <v>2</v>
      </c>
      <c r="AD6" s="28">
        <f>C2</f>
        <v>300000</v>
      </c>
      <c r="AE6" s="28">
        <f>C6</f>
        <v>425000</v>
      </c>
      <c r="AF6" s="43">
        <f t="shared" ref="AF6:AF10" si="3">AE6-AD6</f>
        <v>125000</v>
      </c>
      <c r="AG6" s="35">
        <f t="shared" ref="AG6:AG10" si="4">IFERROR(AF6/AD6,0)</f>
        <v>0.41666666666666669</v>
      </c>
      <c r="AI6" s="34" t="s">
        <v>47</v>
      </c>
      <c r="AJ6" s="46">
        <f>M3</f>
        <v>0.1</v>
      </c>
      <c r="AK6" s="28">
        <f>M9</f>
        <v>1207882.5000000007</v>
      </c>
    </row>
    <row r="7" spans="1:37" ht="28.8" x14ac:dyDescent="0.3">
      <c r="K7" s="27">
        <v>2029</v>
      </c>
      <c r="L7" s="28">
        <f t="shared" ref="L7:L9" si="5">L6*(1+L$3)</f>
        <v>868218.75</v>
      </c>
      <c r="M7" s="28">
        <f t="shared" si="1"/>
        <v>998250.00000000035</v>
      </c>
      <c r="N7" s="28">
        <f t="shared" si="2"/>
        <v>1140656.2499999995</v>
      </c>
      <c r="P7" s="33">
        <v>2031</v>
      </c>
      <c r="Q7" s="21">
        <f>L9*0.95</f>
        <v>909350.61328125</v>
      </c>
      <c r="R7" s="21">
        <f>Q7-$C$6</f>
        <v>484350.61328125</v>
      </c>
      <c r="S7" s="21">
        <f>L9-$C$6-R7</f>
        <v>47860.55859375</v>
      </c>
      <c r="U7" s="34" t="s">
        <v>26</v>
      </c>
      <c r="V7" s="35">
        <f>(B2-C2-D2)/B2</f>
        <v>0.16</v>
      </c>
      <c r="W7" s="35">
        <f>(B3-C3-D3)/B3</f>
        <v>0.17272727272727273</v>
      </c>
      <c r="X7" s="35">
        <f>(B4-C4-D4)/B4</f>
        <v>0.18852459016393441</v>
      </c>
      <c r="Y7" s="35">
        <f>(B5-C5-D5)/B5</f>
        <v>0.19852941176470587</v>
      </c>
      <c r="Z7" s="35">
        <f>(B6-C6-D6)/B6</f>
        <v>0.20666666666666667</v>
      </c>
      <c r="AA7" s="38" t="s">
        <v>33</v>
      </c>
      <c r="AC7" s="34" t="s">
        <v>3</v>
      </c>
      <c r="AD7" s="28">
        <f>D2</f>
        <v>120000</v>
      </c>
      <c r="AE7" s="28">
        <f>D6</f>
        <v>170000</v>
      </c>
      <c r="AF7" s="43">
        <f t="shared" si="3"/>
        <v>50000</v>
      </c>
      <c r="AG7" s="35">
        <f t="shared" si="4"/>
        <v>0.41666666666666669</v>
      </c>
      <c r="AI7" s="36" t="s">
        <v>48</v>
      </c>
      <c r="AJ7" s="47">
        <f>N3</f>
        <v>0.15</v>
      </c>
      <c r="AK7" s="30">
        <f>N9</f>
        <v>1508517.8906249991</v>
      </c>
    </row>
    <row r="8" spans="1:37" ht="28.8" x14ac:dyDescent="0.3">
      <c r="K8" s="27">
        <v>2030</v>
      </c>
      <c r="L8" s="28">
        <f t="shared" si="5"/>
        <v>911629.6875</v>
      </c>
      <c r="M8" s="28">
        <f t="shared" si="1"/>
        <v>1098075.0000000005</v>
      </c>
      <c r="N8" s="28">
        <f t="shared" si="2"/>
        <v>1311754.6874999993</v>
      </c>
      <c r="U8" s="34" t="s">
        <v>27</v>
      </c>
      <c r="V8" s="35">
        <f>I2/B2</f>
        <v>0.16</v>
      </c>
      <c r="W8" s="35">
        <f>I3/B3</f>
        <v>0.17272727272727273</v>
      </c>
      <c r="X8" s="35">
        <f>I4/B4</f>
        <v>0.19672131147540983</v>
      </c>
      <c r="Y8" s="35">
        <f>I5/B5</f>
        <v>0.22058823529411764</v>
      </c>
      <c r="Z8" s="35">
        <f>I6/B6</f>
        <v>0.23333333333333334</v>
      </c>
      <c r="AA8" s="38" t="s">
        <v>34</v>
      </c>
      <c r="AC8" s="34" t="s">
        <v>6</v>
      </c>
      <c r="AD8" s="28">
        <f>G2</f>
        <v>200000</v>
      </c>
      <c r="AE8" s="28">
        <f>G6</f>
        <v>325000</v>
      </c>
      <c r="AF8" s="43">
        <f t="shared" si="3"/>
        <v>125000</v>
      </c>
      <c r="AG8" s="35">
        <f t="shared" si="4"/>
        <v>0.625</v>
      </c>
    </row>
    <row r="9" spans="1:37" ht="28.8" x14ac:dyDescent="0.3">
      <c r="K9" s="29">
        <v>2031</v>
      </c>
      <c r="L9" s="30">
        <f t="shared" si="5"/>
        <v>957211.171875</v>
      </c>
      <c r="M9" s="30">
        <f t="shared" si="1"/>
        <v>1207882.5000000007</v>
      </c>
      <c r="N9" s="30">
        <f t="shared" si="2"/>
        <v>1508517.8906249991</v>
      </c>
      <c r="U9" s="36" t="s">
        <v>28</v>
      </c>
      <c r="V9" s="37">
        <f>E2/F2</f>
        <v>1.1904761904761905</v>
      </c>
      <c r="W9" s="37">
        <f>E3/F3</f>
        <v>1.2087912087912087</v>
      </c>
      <c r="X9" s="37">
        <f>E4/F4</f>
        <v>1.2448979591836735</v>
      </c>
      <c r="Y9" s="37">
        <f>E5/F5</f>
        <v>1.2830188679245282</v>
      </c>
      <c r="Z9" s="37">
        <f>E6/F6</f>
        <v>1.3043478260869565</v>
      </c>
      <c r="AA9" s="39" t="s">
        <v>35</v>
      </c>
      <c r="AC9" s="34" t="s">
        <v>42</v>
      </c>
      <c r="AD9" s="28">
        <f>B2-C2-D2</f>
        <v>80000</v>
      </c>
      <c r="AE9" s="28">
        <f>B6-C6-D6</f>
        <v>155000</v>
      </c>
      <c r="AF9" s="43">
        <f t="shared" si="3"/>
        <v>75000</v>
      </c>
      <c r="AG9" s="35">
        <f t="shared" si="4"/>
        <v>0.9375</v>
      </c>
      <c r="AI9" s="42" t="s">
        <v>49</v>
      </c>
      <c r="AJ9" s="42"/>
      <c r="AK9" s="42"/>
    </row>
    <row r="10" spans="1:37" ht="30" customHeight="1" x14ac:dyDescent="0.3">
      <c r="AC10" s="36" t="s">
        <v>8</v>
      </c>
      <c r="AD10" s="30">
        <f>I2</f>
        <v>80000</v>
      </c>
      <c r="AE10" s="30">
        <f>I6</f>
        <v>175000</v>
      </c>
      <c r="AF10" s="44">
        <f t="shared" si="3"/>
        <v>95000</v>
      </c>
      <c r="AG10" s="45">
        <f t="shared" si="4"/>
        <v>1.1875</v>
      </c>
      <c r="AI10" s="48" t="str">
        <f>"Revenue rose "&amp;TEXT(B6/B2-1,"0.0%")&amp;" from 2022 to 2026, reaching "&amp;TEXT(B6,"$#,##0")&amp;"."</f>
        <v>Revenue rose 50.0% from 2022 to 2026, reaching $750,000.</v>
      </c>
      <c r="AJ10" s="48"/>
      <c r="AK10" s="48"/>
    </row>
    <row r="11" spans="1:37" ht="30" customHeight="1" x14ac:dyDescent="0.3">
      <c r="AI11" s="48" t="str">
        <f>"Gross margin improved from "&amp;TEXT(H2,"0.0%")&amp;" to "&amp;TEXT(H6,"0.0%")&amp;" as COGS grew slower than revenue."</f>
        <v>Gross margin improved from 40.0% to 43.3% as COGS grew slower than revenue.</v>
      </c>
      <c r="AJ11" s="48"/>
      <c r="AK11" s="48"/>
    </row>
    <row r="12" spans="1:37" ht="30" customHeight="1" x14ac:dyDescent="0.3">
      <c r="AI12" s="48" t="str">
        <f>"Operating profit nearly doubled to "&amp;TEXT(B6-C6-D6,"$#,##0")&amp;", with operating margin at "&amp;TEXT((B6-C6-D6)/B6,"0.0%")&amp;"."</f>
        <v>Operating profit nearly doubled to $155,000, with operating margin at 20.7%.</v>
      </c>
      <c r="AJ12" s="48"/>
      <c r="AK12" s="48"/>
    </row>
    <row r="13" spans="1:37" ht="30" customHeight="1" x14ac:dyDescent="0.3">
      <c r="AI13" s="48" t="str">
        <f>"Net cash flow increased by "&amp;TEXT(I6-I2,"$#,##0")&amp;" to "&amp;TEXT(I6,"$#,##0")&amp;"; coverage reached "&amp;TEXT(E6/F6,"0.00x")&amp;"."</f>
        <v>Net cash flow increased by $95,000 to $175,000; coverage reached 1.30x.</v>
      </c>
      <c r="AJ13" s="48"/>
      <c r="AK13" s="48"/>
    </row>
    <row r="14" spans="1:37" ht="30" customHeight="1" x14ac:dyDescent="0.3">
      <c r="AI14" s="48" t="str">
        <f>"A 5% revenue decline reduces projected profit by "&amp;TEXT(MIN(S3:S7),"$#,##0")&amp;" to "&amp;TEXT(MAX(S3:S7),"$#,##0")&amp;" annually across 2027–2031."</f>
        <v>A 5% revenue decline reduces projected profit by $39,375 to $47,861 annually across 2027–2031.</v>
      </c>
      <c r="AJ14" s="48"/>
      <c r="AK14" s="48"/>
    </row>
  </sheetData>
  <mergeCells count="10">
    <mergeCell ref="AI10:AK10"/>
    <mergeCell ref="AI11:AK11"/>
    <mergeCell ref="AI12:AK12"/>
    <mergeCell ref="AI13:AK13"/>
    <mergeCell ref="AI14:AK14"/>
    <mergeCell ref="K1:N1"/>
    <mergeCell ref="U1:AA1"/>
    <mergeCell ref="AC1:AK1"/>
    <mergeCell ref="AC2:AK2"/>
    <mergeCell ref="AI9:AK9"/>
  </mergeCells>
  <phoneticPr fontId="3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Aditi Lundia</dc:creator>
  <cp:lastModifiedBy>Aditi Lundia</cp:lastModifiedBy>
  <dcterms:created xsi:type="dcterms:W3CDTF">2026-09-16T14:21:06Z</dcterms:created>
  <dcterms:modified xsi:type="dcterms:W3CDTF">2026-09-16T14:41:29Z</dcterms:modified>
</cp:coreProperties>
</file>