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7A85E8D3-C783-4D6A-8958-80675760BC81}" xr6:coauthVersionLast="47" xr6:coauthVersionMax="47" xr10:uidLastSave="{00000000-0000-0000-0000-000000000000}"/>
  <bookViews>
    <workbookView xWindow="-108" yWindow="-108" windowWidth="23256" windowHeight="12456" xr2:uid="{C9C2A096-4F13-4E7C-BFA1-C1B33817AB5A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9" i="1" l="1"/>
  <c r="Q10" i="1"/>
  <c r="Q11" i="1"/>
  <c r="Q12" i="1"/>
  <c r="Q13" i="1"/>
  <c r="Q14" i="1"/>
  <c r="Q15" i="1"/>
  <c r="Q16" i="1"/>
  <c r="Q17" i="1"/>
  <c r="Q18" i="1"/>
  <c r="Q19" i="1"/>
  <c r="Q20" i="1"/>
  <c r="L10" i="1"/>
  <c r="L11" i="1"/>
  <c r="L12" i="1"/>
  <c r="L13" i="1"/>
  <c r="L14" i="1"/>
  <c r="L15" i="1"/>
  <c r="L16" i="1"/>
  <c r="L17" i="1"/>
  <c r="L18" i="1"/>
  <c r="L19" i="1"/>
  <c r="L20" i="1"/>
  <c r="L21" i="1"/>
  <c r="K10" i="1"/>
  <c r="K11" i="1"/>
  <c r="K12" i="1"/>
  <c r="K13" i="1"/>
  <c r="K14" i="1"/>
  <c r="K15" i="1"/>
  <c r="K16" i="1"/>
  <c r="K17" i="1"/>
  <c r="K18" i="1"/>
  <c r="K19" i="1"/>
  <c r="K20" i="1"/>
  <c r="K21" i="1"/>
  <c r="G13" i="1"/>
  <c r="G12" i="1"/>
  <c r="G11" i="1"/>
  <c r="G10" i="1"/>
  <c r="D20" i="2"/>
  <c r="D19" i="2"/>
  <c r="D18" i="2"/>
  <c r="D17" i="2"/>
  <c r="D16" i="2"/>
  <c r="D15" i="2"/>
  <c r="D14" i="2"/>
  <c r="D13" i="2"/>
  <c r="D12" i="2"/>
  <c r="D11" i="2"/>
  <c r="D10" i="2"/>
  <c r="C20" i="2"/>
  <c r="C19" i="2"/>
  <c r="C18" i="2"/>
  <c r="C17" i="2"/>
  <c r="C16" i="2"/>
  <c r="C15" i="2"/>
  <c r="C14" i="2"/>
  <c r="C13" i="2"/>
  <c r="C12" i="2"/>
  <c r="C11" i="2"/>
  <c r="C10" i="2"/>
  <c r="D9" i="2"/>
  <c r="C9" i="2"/>
  <c r="D26" i="2" a="1"/>
  <c r="C26" i="2" a="1"/>
  <c r="B30" i="2"/>
  <c r="B29" i="2"/>
  <c r="B28" i="2"/>
  <c r="B27" i="2"/>
  <c r="B26" i="2"/>
  <c r="B21" i="2"/>
  <c r="D5" i="2"/>
  <c r="A5" i="2"/>
  <c r="B30" i="1"/>
  <c r="B29" i="1"/>
  <c r="B28" i="1"/>
  <c r="B27" i="1"/>
  <c r="D20" i="1" a="1"/>
  <c r="D19" i="1" a="1"/>
  <c r="D18" i="1" a="1"/>
  <c r="D17" i="1" a="1"/>
  <c r="D16" i="1" a="1"/>
  <c r="D15" i="1" a="1"/>
  <c r="D14" i="1" a="1"/>
  <c r="D13" i="1" a="1"/>
  <c r="D12" i="1" a="1"/>
  <c r="D11" i="1" a="1"/>
  <c r="D10" i="1" a="1"/>
  <c r="D9" i="1" a="1"/>
  <c r="R9" i="1" s="1"/>
  <c r="J5" i="1"/>
  <c r="G5" i="1"/>
  <c r="B21" i="1"/>
  <c r="B26" i="1" s="1"/>
  <c r="C20" i="1"/>
  <c r="C19" i="1"/>
  <c r="C18" i="1"/>
  <c r="C17" i="1"/>
  <c r="C16" i="1"/>
  <c r="C15" i="1"/>
  <c r="C14" i="1"/>
  <c r="C13" i="1"/>
  <c r="C12" i="1"/>
  <c r="C11" i="1"/>
  <c r="C10" i="1"/>
  <c r="D5" i="1"/>
  <c r="A5" i="1"/>
  <c r="S20" i="1" l="1"/>
  <c r="R20" i="1"/>
  <c r="S19" i="1"/>
  <c r="R19" i="1"/>
  <c r="S18" i="1"/>
  <c r="R18" i="1"/>
  <c r="S17" i="1"/>
  <c r="R17" i="1"/>
  <c r="S16" i="1"/>
  <c r="R16" i="1"/>
  <c r="S15" i="1"/>
  <c r="R15" i="1"/>
  <c r="S14" i="1"/>
  <c r="R14" i="1"/>
  <c r="S13" i="1"/>
  <c r="R13" i="1"/>
  <c r="S12" i="1"/>
  <c r="R12" i="1"/>
  <c r="S11" i="1"/>
  <c r="R11" i="1"/>
  <c r="S10" i="1"/>
  <c r="R10" i="1"/>
  <c r="L27" i="1"/>
  <c r="L26" i="1"/>
  <c r="H13" i="1"/>
  <c r="I13" i="1"/>
  <c r="G18" i="1"/>
  <c r="I12" i="1"/>
  <c r="H12" i="1"/>
  <c r="I11" i="1"/>
  <c r="H11" i="1"/>
  <c r="H16" i="1"/>
  <c r="G16" i="1"/>
  <c r="H17" i="1"/>
  <c r="G17" i="1"/>
  <c r="H10" i="1"/>
  <c r="I10" i="1"/>
  <c r="D21" i="1"/>
  <c r="S9" i="1"/>
  <c r="B31" i="1"/>
  <c r="C21" i="1"/>
  <c r="N10" i="1"/>
  <c r="N11" i="1"/>
  <c r="O11" i="1" s="1"/>
  <c r="N12" i="1"/>
  <c r="O12" i="1" s="1"/>
  <c r="N14" i="1"/>
  <c r="O14" i="1" s="1"/>
  <c r="N15" i="1"/>
  <c r="O15" i="1" s="1"/>
  <c r="M11" i="1"/>
  <c r="M13" i="1"/>
  <c r="M16" i="1"/>
  <c r="M21" i="1"/>
  <c r="N13" i="1"/>
  <c r="O13" i="1" s="1"/>
  <c r="M18" i="1"/>
  <c r="M14" i="1"/>
  <c r="N21" i="1"/>
  <c r="O21" i="1" s="1"/>
  <c r="N18" i="1"/>
  <c r="O18" i="1" s="1"/>
  <c r="N19" i="1"/>
  <c r="O19" i="1" s="1"/>
  <c r="M20" i="1"/>
  <c r="M15" i="1"/>
  <c r="M12" i="1"/>
  <c r="M10" i="1"/>
  <c r="M17" i="1"/>
  <c r="M19" i="1"/>
  <c r="N20" i="1"/>
  <c r="O20" i="1" s="1"/>
  <c r="N17" i="1"/>
  <c r="O17" i="1" s="1"/>
  <c r="N16" i="1"/>
  <c r="O16" i="1" s="1"/>
  <c r="O10" i="1" l="1"/>
  <c r="L25" i="1"/>
  <c r="L24" i="1"/>
  <c r="L2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<sst xmlns="http://schemas.openxmlformats.org/spreadsheetml/2006/main" count="105" uniqueCount="82">
  <si>
    <t>Monthly Sales Data &amp; Copilot Analysis Demo</t>
  </si>
  <si>
    <t>Dataset illustrating trends, June outlier (22,000 surge), and AI prompt insights referenced in the article.</t>
  </si>
  <si>
    <t>Average Monthly Sales</t>
  </si>
  <si>
    <t>Month</t>
  </si>
  <si>
    <t>Sales ($)</t>
  </si>
  <si>
    <t>MoM Growth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</si>
  <si>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</si>
  <si>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</si>
  <si>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</si>
  <si>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</si>
  <si>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</si>
  <si>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</si>
  <si>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</si>
  <si>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</si>
  <si>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</si>
  <si>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</si>
  <si>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</si>
  <si>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</si>
  <si>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/ Overall</t>
  </si>
  <si>
    <t>Total Annual Revenue</t>
  </si>
  <si>
    <t>Underlying Avg (ex-Jun)</t>
  </si>
  <si>
    <t>Jan–Dec Growth</t>
  </si>
  <si>
    <t>Underlying Trend ($)</t>
  </si>
  <si>
    <t>Trend Analysis</t>
  </si>
  <si>
    <t>Metric</t>
  </si>
  <si>
    <t>Result</t>
  </si>
  <si>
    <t>What it shows</t>
  </si>
  <si>
    <t>Signal</t>
  </si>
  <si>
    <t>Annual revenue</t>
  </si>
  <si>
    <t>Full-year sales across all 12 months</t>
  </si>
  <si>
    <t>Scale</t>
  </si>
  <si>
    <t>Jan–Dec growth</t>
  </si>
  <si>
    <t>December sales are 52% above January</t>
  </si>
  <si>
    <t>Positive</t>
  </si>
  <si>
    <t>Underlying monthly average</t>
  </si>
  <si>
    <t>Typical run rate excluding June</t>
  </si>
  <si>
    <t>Stable</t>
  </si>
  <si>
    <t>H2 vs H1</t>
  </si>
  <si>
    <t>Second-half revenue still exceeds first half despite June</t>
  </si>
  <si>
    <t>June uplift vs baseline</t>
  </si>
  <si>
    <t>June is materially above the underlying run rate</t>
  </si>
  <si>
    <t>Outlier</t>
  </si>
  <si>
    <t>Typical MoM growth</t>
  </si>
  <si>
    <t>Median growth excluding June surge and July reset</t>
  </si>
  <si>
    <t>IQR Outlier Analysis</t>
  </si>
  <si>
    <t>Statistic</t>
  </si>
  <si>
    <t>Value</t>
  </si>
  <si>
    <t>Outlier Month</t>
  </si>
  <si>
    <t>Outlier Sales</t>
  </si>
  <si>
    <t>Q1</t>
  </si>
  <si>
    <t>Q3</t>
  </si>
  <si>
    <t>IQR</t>
  </si>
  <si>
    <t>Lower fence</t>
  </si>
  <si>
    <t>Upper fence</t>
  </si>
  <si>
    <t>IQR Outlier ($)</t>
  </si>
  <si>
    <t>Upper IQR Fence</t>
  </si>
  <si>
    <t>Quarterly Analysis</t>
  </si>
  <si>
    <t>Quarter</t>
  </si>
  <si>
    <t>Total Sales</t>
  </si>
  <si>
    <t>% of Annual</t>
  </si>
  <si>
    <t>Avg Monthly</t>
  </si>
  <si>
    <t>Q1 (Jan-Mar)</t>
  </si>
  <si>
    <t>Q2 (Apr-Jun)</t>
  </si>
  <si>
    <t>Q3 (Jul-Sep)</t>
  </si>
  <si>
    <t>Q4 (Oct-Dec)</t>
  </si>
  <si>
    <t>Quarter Comparisons</t>
  </si>
  <si>
    <t>Best Quarter</t>
  </si>
  <si>
    <t>Weakest Quarter</t>
  </si>
  <si>
    <t>Q4 vs Q1 Growth</t>
  </si>
  <si>
    <t>Seasonal Pattern Analysis</t>
  </si>
  <si>
    <t>Sales</t>
  </si>
  <si>
    <t>vs Annual Avg</t>
  </si>
  <si>
    <t>Seasonal Index</t>
  </si>
  <si>
    <t>Pattern</t>
  </si>
  <si>
    <t>Seasonal Summary</t>
  </si>
  <si>
    <t>Months Above Trend (&gt;1.1)</t>
  </si>
  <si>
    <t>Months Below Trend (&lt;0.9)</t>
  </si>
  <si>
    <t>Peak Month</t>
  </si>
  <si>
    <t>Trough Month</t>
  </si>
  <si>
    <t>Seasonality Range</t>
  </si>
  <si>
    <t>Actual Sales</t>
  </si>
  <si>
    <t>Underlying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</si>
</sst>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0.0%"/>
    <numFmt numFmtId="166" formatCode="&quot;$&quot;#,##0"/>
    <numFmt numFmtId="167" formatCode="&quot;$&quot;#,##0.00"/>
    <numFmt numFmtId="168" formatCode="&quot;$&quot;#,##0;\(&quot;$&quot;#,##0\)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11"/>
      <color rgb="FFFFFFFF"/>
      <name val="Aptos Narrow"/>
      <family val="2"/>
      <scheme val="minor"/>
    </font>
    <font>
      <b/>
      <sz val="18"/>
      <color rgb="FFFFFFFF"/>
      <name val="Calibri"/>
    </font>
    <font>
      <b/>
      <sz val="18"/>
      <color rgb="FFFFFFFF"/>
      <name val="Aptos Narrow"/>
      <family val="2"/>
      <scheme val="minor"/>
    </font>
    <font>
      <i/>
      <sz val="11"/>
      <color rgb="FF5B6573"/>
      <name val="Calibri"/>
    </font>
    <font>
      <i/>
      <sz val="11"/>
      <color rgb="FF5B6573"/>
      <name val="Aptos Narrow"/>
      <family val="2"/>
      <scheme val="minor"/>
    </font>
    <font>
      <b/>
      <sz val="9"/>
      <color rgb="FF17365D"/>
      <name val="Calibri"/>
    </font>
    <font>
      <b/>
      <sz val="11"/>
      <color rgb="FF17365D"/>
      <name val="Aptos Narrow"/>
      <family val="2"/>
      <scheme val="minor"/>
    </font>
    <font>
      <b/>
      <sz val="16"/>
      <color rgb="FF17365D"/>
      <name val="Calibri"/>
    </font>
    <font>
      <b/>
      <sz val="16"/>
      <color rgb="FF17365D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1"/>
      <color rgb="FF9C0006"/>
      <name val="Calibri"/>
    </font>
    <font>
      <sz val="11"/>
      <color rgb="FF548235"/>
      <name val="Aptos Narrow"/>
      <family val="2"/>
      <scheme val="minor"/>
    </font>
    <font>
      <b/>
      <sz val="11"/>
      <color rgb="FF548235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9FAFB"/>
        <bgColor rgb="FFF9FAFB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6" fontId="0" fillId="0" borderId="0" xfId="0" applyNumberFormat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0" fontId="9" fillId="0" borderId="0" xfId="0" applyFont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right" vertical="center"/>
    </xf>
    <xf numFmtId="0" fontId="5" fillId="6" borderId="0" xfId="0" applyFont="1" applyFill="1"/>
    <xf numFmtId="0" fontId="4" fillId="4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1" fillId="4" borderId="0" xfId="0" applyNumberFormat="1" applyFont="1" applyFill="1"/>
    <xf numFmtId="0" fontId="0" fillId="7" borderId="0" xfId="0" applyFill="1"/>
    <xf numFmtId="166" fontId="0" fillId="7" borderId="0" xfId="0" applyNumberFormat="1" applyFill="1"/>
    <xf numFmtId="165" fontId="0" fillId="7" borderId="0" xfId="0" applyNumberFormat="1" applyFill="1"/>
    <xf numFmtId="0" fontId="0" fillId="7" borderId="0" xfId="0" applyFill="1" applyAlignment="1">
      <alignment wrapText="1"/>
    </xf>
    <xf numFmtId="0" fontId="4" fillId="8" borderId="1" xfId="0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right" vertical="center"/>
    </xf>
    <xf numFmtId="165" fontId="4" fillId="8" borderId="1" xfId="0" applyNumberFormat="1" applyFont="1" applyFill="1" applyBorder="1" applyAlignment="1">
      <alignment horizontal="right" vertical="center"/>
    </xf>
    <xf numFmtId="166" fontId="1" fillId="8" borderId="0" xfId="0" applyNumberFormat="1" applyFont="1" applyFill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right" vertical="center"/>
    </xf>
    <xf numFmtId="165" fontId="15" fillId="0" borderId="1" xfId="0" applyNumberFormat="1" applyFont="1" applyBorder="1" applyAlignment="1">
      <alignment horizontal="right" vertical="center"/>
    </xf>
    <xf numFmtId="166" fontId="16" fillId="0" borderId="0" xfId="0" applyNumberFormat="1" applyFont="1"/>
    <xf numFmtId="166" fontId="17" fillId="8" borderId="0" xfId="0" applyNumberFormat="1" applyFont="1" applyFill="1"/>
    <xf numFmtId="167" fontId="0" fillId="7" borderId="0" xfId="0" applyNumberFormat="1" applyFill="1"/>
    <xf numFmtId="0" fontId="1" fillId="8" borderId="0" xfId="0" applyFont="1" applyFill="1"/>
    <xf numFmtId="0" fontId="11" fillId="4" borderId="0" xfId="0" applyFont="1" applyFill="1" applyAlignment="1">
      <alignment horizontal="center"/>
    </xf>
    <xf numFmtId="165" fontId="13" fillId="5" borderId="0" xfId="0" applyNumberFormat="1" applyFont="1" applyFill="1" applyAlignment="1">
      <alignment horizontal="center"/>
    </xf>
    <xf numFmtId="0" fontId="14" fillId="3" borderId="0" xfId="0" applyFont="1" applyFill="1"/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166" fontId="13" fillId="5" borderId="0" xfId="0" applyNumberFormat="1" applyFont="1" applyFill="1" applyAlignment="1">
      <alignment horizontal="center"/>
    </xf>
    <xf numFmtId="0" fontId="1" fillId="0" borderId="0" xfId="0" applyFont="1"/>
    <xf numFmtId="0" fontId="18" fillId="0" borderId="0" xfId="0" applyFont="1"/>
    <xf numFmtId="165" fontId="0" fillId="0" borderId="0" xfId="0" applyNumberFormat="1"/>
    <xf numFmtId="0" fontId="0" fillId="0" borderId="0" xfId="0" applyBorder="1"/>
    <xf numFmtId="0" fontId="5" fillId="9" borderId="3" xfId="0" applyFont="1" applyFill="1" applyBorder="1"/>
    <xf numFmtId="0" fontId="0" fillId="0" borderId="3" xfId="0" applyBorder="1"/>
    <xf numFmtId="166" fontId="0" fillId="0" borderId="3" xfId="0" applyNumberFormat="1" applyBorder="1"/>
    <xf numFmtId="165" fontId="0" fillId="0" borderId="3" xfId="0" applyNumberFormat="1" applyBorder="1"/>
    <xf numFmtId="164" fontId="0" fillId="0" borderId="0" xfId="0" applyNumberFormat="1"/>
    <xf numFmtId="2" fontId="0" fillId="0" borderId="0" xfId="0" applyNumberFormat="1"/>
    <xf numFmtId="168" fontId="0" fillId="0" borderId="3" xfId="0" applyNumberFormat="1" applyBorder="1"/>
    <xf numFmtId="2" fontId="0" fillId="0" borderId="3" xfId="0" applyNumberFormat="1" applyBorder="1"/>
    <xf numFmtId="164" fontId="0" fillId="0" borderId="0" xfId="0" applyNumberFormat="1" applyBorder="1"/>
  </cellXfs>
  <cellStyles count="1">
    <cellStyle name="Normal" xfId="0" builtinId="0"/>
  </cellStyles>
  <dxfs count="3">
    <dxf>
      <font>
        <b/>
        <i val="0"/>
        <color rgb="FF9C5700"/>
      </font>
      <fill>
        <patternFill patternType="solid">
          <fgColor indexed="64"/>
          <bgColor rgb="FFFFF2CC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Seasonal Index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Seasonal Index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Sheet1!$K$10:$K$21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Sheet1!$N$10:$N$21</c:f>
              <c:numCache>
                <c:formatCode>0.00</c:formatCode>
                <c:ptCount val="12"/>
                <c:pt idx="0">
                  <c:v>0.74441687344913143</c:v>
                </c:pt>
                <c:pt idx="1">
                  <c:v>0.78163771712158803</c:v>
                </c:pt>
                <c:pt idx="2">
                  <c:v>0.83374689826302728</c:v>
                </c:pt>
                <c:pt idx="3">
                  <c:v>0.87841191066997515</c:v>
                </c:pt>
                <c:pt idx="4">
                  <c:v>0.9305210918114144</c:v>
                </c:pt>
                <c:pt idx="5">
                  <c:v>1.6377171215880892</c:v>
                </c:pt>
                <c:pt idx="6">
                  <c:v>0.95285359801488834</c:v>
                </c:pt>
                <c:pt idx="7">
                  <c:v>0.97518610421836227</c:v>
                </c:pt>
                <c:pt idx="8">
                  <c:v>1.0124069478908189</c:v>
                </c:pt>
                <c:pt idx="9">
                  <c:v>1.042183622828784</c:v>
                </c:pt>
                <c:pt idx="10">
                  <c:v>1.0794044665012406</c:v>
                </c:pt>
                <c:pt idx="11">
                  <c:v>1.1315136476426799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AD-4A09-8494-FBD0409BD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1888128"/>
        <c:axId val="1295614544"/>
      </c:barChart>
      <c:catAx>
        <c:axId val="129188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614544"/>
        <c:crosses val="autoZero"/>
        <c:auto val="1"/>
        <c:lblAlgn val="ctr"/>
        <c:lblOffset val="100"/>
        <c:noMultiLvlLbl val="0"/>
      </c:catAx>
      <c:valAx>
        <c:axId val="1295614544"/>
        <c:scaling>
          <c:orientation val="minMax"/>
          <c:max val="1.8"/>
          <c:min val="0.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Index (1.0 = Average)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188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Seasonal Pattern: Actual Sales vs Underlying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Sheet1!$Q$8</c:f>
              <c:strCache>
                <c:ptCount val="1"/>
                <c:pt idx="0">
                  <c:v>Actual Sales</c:v>
                </c:pt>
              </c:strCache>
            </c:strRef>
          </c:tx>
          <c:spPr>
            <a:ln w="31750" cap="rnd" cmpd="sng" algn="ctr">
              <a:solidFill>
                <a:srgbClr val="4472C4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5"/>
              <c:numFmt formatCode="&quot;$&quot;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0E-4DA7-BB85-136543FE32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Sheet1!$A$9:$A$20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Sheet1!$Q$9:$Q$20</c:f>
              <c:numCache>
                <c:formatCode>\$#,##0</c:formatCode>
                <c:ptCount val="12"/>
                <c:pt idx="0">
                  <c:v>10000</c:v>
                </c:pt>
                <c:pt idx="1">
                  <c:v>10500</c:v>
                </c:pt>
                <c:pt idx="2">
                  <c:v>11200</c:v>
                </c:pt>
                <c:pt idx="3">
                  <c:v>11800</c:v>
                </c:pt>
                <c:pt idx="4">
                  <c:v>12500</c:v>
                </c:pt>
                <c:pt idx="5">
                  <c:v>22000</c:v>
                </c:pt>
                <c:pt idx="6">
                  <c:v>12800</c:v>
                </c:pt>
                <c:pt idx="7">
                  <c:v>13100</c:v>
                </c:pt>
                <c:pt idx="8">
                  <c:v>13600</c:v>
                </c:pt>
                <c:pt idx="9">
                  <c:v>14000</c:v>
                </c:pt>
                <c:pt idx="10">
                  <c:v>14500</c:v>
                </c:pt>
                <c:pt idx="11">
                  <c:v>15200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0E-4DA7-BB85-136543FE329D}"/>
            </c:ext>
          </c:extLst>
        </c:ser>
        <c:ser>
          <c:idx val="1"/>
          <c:order val="1"/>
          <c:tx>
            <c:strRef>
              <c:f>Sheet1!$R$8</c:f>
              <c:strCache>
                <c:ptCount val="1"/>
                <c:pt idx="0">
                  <c:v>Underlying Trend</c:v>
                </c:pt>
              </c:strCache>
            </c:strRef>
          </c:tx>
          <c:spPr>
            <a:ln w="254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5"/>
              <c:numFmt formatCode="&quot;$&quot;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1" u="none" strike="noStrike" kern="1200" baseline="0">
                      <a:solidFill>
                        <a:srgbClr val="ED7D3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0E-4DA7-BB85-136543FE32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Sheet1!$A$9:$A$20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Sheet1!$R$9:$R$20</c:f>
              <c:numCache>
                <c:formatCode>\$#,##0</c:formatCode>
                <c:ptCount val="12"/>
                <c:pt idx="0">
                  <c:v>10250.573248407643</c:v>
                </c:pt>
                <c:pt idx="1">
                  <c:v>10684.076433121019</c:v>
                </c:pt>
                <c:pt idx="2">
                  <c:v>11117.579617834395</c:v>
                </c:pt>
                <c:pt idx="3">
                  <c:v>11551.082802547769</c:v>
                </c:pt>
                <c:pt idx="4">
                  <c:v>11984.585987261145</c:v>
                </c:pt>
                <c:pt idx="5">
                  <c:v>12418.089171974521</c:v>
                </c:pt>
                <c:pt idx="6">
                  <c:v>12851.592356687897</c:v>
                </c:pt>
                <c:pt idx="7">
                  <c:v>13285.095541401273</c:v>
                </c:pt>
                <c:pt idx="8">
                  <c:v>13718.598726114647</c:v>
                </c:pt>
                <c:pt idx="9">
                  <c:v>14152.101910828023</c:v>
                </c:pt>
                <c:pt idx="10">
                  <c:v>14585.605095541399</c:v>
                </c:pt>
                <c:pt idx="11">
                  <c:v>15019.108280254775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0E-4DA7-BB85-136543FE3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902512"/>
        <c:axId val="1295744624"/>
      </c:lineChart>
      <c:catAx>
        <c:axId val="129190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744624"/>
        <c:crosses val="autoZero"/>
        <c:auto val="1"/>
        <c:lblAlgn val="ctr"/>
        <c:lblOffset val="100"/>
        <c:noMultiLvlLbl val="0"/>
      </c:catAx>
      <c:valAx>
        <c:axId val="129574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190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Sales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Sales</c:v>
          </c:tx>
          <c:spPr>
            <a:ln w="28575" cap="rnd" cmpd="sng" algn="ctr">
              <a:solidFill>
                <a:srgbClr val="1F4E78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'Sheet1 (2)'!$A$9:$A$20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'Sheet1 (2)'!$B$9:$B$20</c:f>
              <c:numCache>
                <c:formatCode>\$#,##0</c:formatCode>
                <c:ptCount val="12"/>
                <c:pt idx="0">
                  <c:v>10000</c:v>
                </c:pt>
                <c:pt idx="1">
                  <c:v>10500</c:v>
                </c:pt>
                <c:pt idx="2">
                  <c:v>11200</c:v>
                </c:pt>
                <c:pt idx="3">
                  <c:v>11800</c:v>
                </c:pt>
                <c:pt idx="4">
                  <c:v>12500</c:v>
                </c:pt>
                <c:pt idx="5">
                  <c:v>22000</c:v>
                </c:pt>
                <c:pt idx="6">
                  <c:v>12800</c:v>
                </c:pt>
                <c:pt idx="7">
                  <c:v>13100</c:v>
                </c:pt>
                <c:pt idx="8">
                  <c:v>13600</c:v>
                </c:pt>
                <c:pt idx="9">
                  <c:v>14000</c:v>
                </c:pt>
                <c:pt idx="10">
                  <c:v>14500</c:v>
                </c:pt>
                <c:pt idx="11">
                  <c:v>15200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4A-4F8B-BAE1-4A45A81A6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558336"/>
        <c:axId val="1100746608"/>
      </c:lineChart>
      <c:catAx>
        <c:axId val="121855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746608"/>
        <c:crosses val="autoZero"/>
        <c:auto val="1"/>
        <c:lblAlgn val="ctr"/>
        <c:lblOffset val="100"/>
        <c:noMultiLvlLbl val="0"/>
      </c:catAx>
      <c:valAx>
        <c:axId val="1100746608"/>
        <c:scaling>
          <c:orientation val="minMax"/>
          <c:max val="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$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855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Unusual Monthly Sales Observations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Monthly Sales</c:v>
          </c:tx>
          <c:spPr>
            <a:ln w="25400" cap="rnd" cmpd="sng" algn="ctr">
              <a:solidFill>
                <a:srgbClr val="5B9BD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'Sheet1 (2)'!$A$9:$A$20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'Sheet1 (2)'!$B$9:$B$20</c:f>
              <c:numCache>
                <c:formatCode>\$#,##0</c:formatCode>
                <c:ptCount val="12"/>
                <c:pt idx="0">
                  <c:v>10000</c:v>
                </c:pt>
                <c:pt idx="1">
                  <c:v>10500</c:v>
                </c:pt>
                <c:pt idx="2">
                  <c:v>11200</c:v>
                </c:pt>
                <c:pt idx="3">
                  <c:v>11800</c:v>
                </c:pt>
                <c:pt idx="4">
                  <c:v>12500</c:v>
                </c:pt>
                <c:pt idx="5">
                  <c:v>22000</c:v>
                </c:pt>
                <c:pt idx="6">
                  <c:v>12800</c:v>
                </c:pt>
                <c:pt idx="7">
                  <c:v>13100</c:v>
                </c:pt>
                <c:pt idx="8">
                  <c:v>13600</c:v>
                </c:pt>
                <c:pt idx="9">
                  <c:v>14000</c:v>
                </c:pt>
                <c:pt idx="10">
                  <c:v>14500</c:v>
                </c:pt>
                <c:pt idx="11">
                  <c:v>15200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B-4094-80E3-800BC850829B}"/>
            </c:ext>
          </c:extLst>
        </c:ser>
        <c:ser>
          <c:idx val="1"/>
          <c:order val="1"/>
          <c:tx>
            <c:v>IQR Upper Fence</c:v>
          </c:tx>
          <c:spPr>
            <a:ln w="19050" cap="rnd" cmpd="sng" algn="ctr">
              <a:solidFill>
                <a:srgbClr val="A5A5A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val>
            <c:numRef>
              <c:f>'Sheet1 (2)'!$D$9:$D$20</c:f>
              <c:numCache>
                <c:formatCode>"$"#,##0</c:formatCode>
                <c:ptCount val="12"/>
                <c:pt idx="0">
                  <c:v>17837.5</c:v>
                </c:pt>
                <c:pt idx="1">
                  <c:v>17837.5</c:v>
                </c:pt>
                <c:pt idx="2">
                  <c:v>17837.5</c:v>
                </c:pt>
                <c:pt idx="3">
                  <c:v>17837.5</c:v>
                </c:pt>
                <c:pt idx="4">
                  <c:v>17837.5</c:v>
                </c:pt>
                <c:pt idx="5">
                  <c:v>17837.5</c:v>
                </c:pt>
                <c:pt idx="6">
                  <c:v>17837.5</c:v>
                </c:pt>
                <c:pt idx="7">
                  <c:v>17837.5</c:v>
                </c:pt>
                <c:pt idx="8">
                  <c:v>17837.5</c:v>
                </c:pt>
                <c:pt idx="9">
                  <c:v>17837.5</c:v>
                </c:pt>
                <c:pt idx="10">
                  <c:v>17837.5</c:v>
                </c:pt>
                <c:pt idx="11">
                  <c:v>17837.5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B-4094-80E3-800BC850829B}"/>
            </c:ext>
          </c:extLst>
        </c:ser>
        <c:ser>
          <c:idx val="2"/>
          <c:order val="2"/>
          <c:tx>
            <c:v>IQR Outlier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C00000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'Sheet1 (2)'!$C$9:$C$20</c:f>
              <c:numCache>
                <c:formatCode>"$"#,##0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22000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6B-4094-80E3-800BC8508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5060592"/>
        <c:axId val="1100703888"/>
      </c:lineChart>
      <c:catAx>
        <c:axId val="1565060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703888"/>
        <c:crosses val="autoZero"/>
        <c:auto val="1"/>
        <c:lblAlgn val="ctr"/>
        <c:lblOffset val="100"/>
        <c:noMultiLvlLbl val="0"/>
      </c:catAx>
      <c:valAx>
        <c:axId val="1100703888"/>
        <c:scaling>
          <c:orientation val="minMax"/>
          <c:max val="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$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5060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29</xdr:row>
      <xdr:rowOff>0</xdr:rowOff>
    </xdr:from>
    <xdr:to>
      <xdr:col>18</xdr:col>
      <xdr:colOff>0</xdr:colOff>
      <xdr:row>45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4640266-2944-59B1-C2AD-07BCDC227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434340</xdr:colOff>
      <xdr:row>20</xdr:row>
      <xdr:rowOff>99060</xdr:rowOff>
    </xdr:from>
    <xdr:to>
      <xdr:col>25</xdr:col>
      <xdr:colOff>38100</xdr:colOff>
      <xdr:row>40</xdr:row>
      <xdr:rowOff>71120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36B8174-65E1-7AFB-817D-D46F3EEE27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8</xdr:row>
      <xdr:rowOff>144780</xdr:rowOff>
    </xdr:from>
    <xdr:to>
      <xdr:col>10</xdr:col>
      <xdr:colOff>53340</xdr:colOff>
      <xdr:row>22</xdr:row>
      <xdr:rowOff>137160</xdr:rowOff>
    </xdr:to>
    <xdr:graphicFrame macro="">
      <xdr:nvGraphicFramePr>
        <xdr:cNvPr id="3" name="Monthly Sales Trend">
          <a:extLst>
            <a:ext uri="{FF2B5EF4-FFF2-40B4-BE49-F238E27FC236}">
              <a16:creationId xmlns:a16="http://schemas.microsoft.com/office/drawing/2014/main" id="{54801E7F-D82D-F30C-AD69-E97966FA01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12</xdr:col>
      <xdr:colOff>0</xdr:colOff>
      <xdr:row>38</xdr:row>
      <xdr:rowOff>0</xdr:rowOff>
    </xdr:to>
    <xdr:graphicFrame macro="">
      <xdr:nvGraphicFramePr>
        <xdr:cNvPr id="4" name="Unusual Sales Observations">
          <a:extLst>
            <a:ext uri="{FF2B5EF4-FFF2-40B4-BE49-F238E27FC236}">
              <a16:creationId xmlns:a16="http://schemas.microsoft.com/office/drawing/2014/main" id="{E9995346-3265-6F92-606C-2D25C7025B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BB8D-F47C-427F-ADB8-771910C04596}">
  <dimension ref="A1:S31"/>
  <sheetViews>
    <sheetView showGridLines="0" tabSelected="1" zoomScale="110" zoomScaleNormal="110" workbookViewId="0"/>
  </sheetViews>
  <sheetFormatPr defaultRowHeight="14.4" x14ac:dyDescent="0.3"/>
  <cols>
    <col min="1" max="1" width="25" customWidth="1"/>
    <col min="2" max="2" width="16.6640625" customWidth="1"/>
    <col min="3" max="3" width="41.6640625" customWidth="1"/>
    <col min="4" max="4" width="17.5546875" customWidth="1"/>
    <col min="5" max="5" width="3.33203125" customWidth="1"/>
    <col min="6" max="9" width="13.33203125" customWidth="1"/>
    <col min="10" max="10" width="10" customWidth="1"/>
    <col min="11" max="11" width="25.109375" bestFit="1" customWidth="1"/>
    <col min="12" max="12" width="7.5546875" bestFit="1" customWidth="1"/>
    <col min="13" max="13" width="12" bestFit="1" customWidth="1"/>
    <col min="14" max="14" width="13.5546875" bestFit="1" customWidth="1"/>
    <col min="15" max="15" width="11.77734375" bestFit="1" customWidth="1"/>
    <col min="16" max="17" width="11.77734375" customWidth="1"/>
    <col min="18" max="19" width="14.44140625" bestFit="1" customWidth="1"/>
  </cols>
  <sheetData>
    <row r="1" spans="1:19" ht="28.05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9" ht="24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9" ht="24" customHeight="1" x14ac:dyDescent="0.3">
      <c r="A4" s="37" t="s">
        <v>19</v>
      </c>
      <c r="B4" s="38"/>
      <c r="D4" s="37" t="s">
        <v>2</v>
      </c>
      <c r="E4" s="38"/>
      <c r="G4" s="34" t="s">
        <v>20</v>
      </c>
      <c r="H4" s="34"/>
      <c r="J4" s="34" t="s">
        <v>21</v>
      </c>
      <c r="K4" s="34"/>
    </row>
    <row r="5" spans="1:19" ht="24" customHeight="1" x14ac:dyDescent="0.4">
      <c r="A5" s="39">
        <f>SUM(B9:B20)</f>
        <v>161200</v>
      </c>
      <c r="B5" s="40"/>
      <c r="D5" s="39">
        <f>AVERAGE(B9:B20)</f>
        <v>13433.333333333334</v>
      </c>
      <c r="E5" s="40"/>
      <c r="G5" s="41">
        <f>AVERAGE(B9:B13,B15:B20)</f>
        <v>12654.545454545454</v>
      </c>
      <c r="H5" s="41"/>
      <c r="J5" s="35">
        <f>B20/B9-1</f>
        <v>0.52</v>
      </c>
      <c r="K5" s="35"/>
    </row>
    <row r="8" spans="1:19" ht="15.6" x14ac:dyDescent="0.3">
      <c r="A8" s="12" t="s">
        <v>3</v>
      </c>
      <c r="B8" s="13" t="s">
        <v>4</v>
      </c>
      <c r="C8" s="12" t="s">
        <v>5</v>
      </c>
      <c r="D8" s="14" t="s">
        <v>22</v>
      </c>
      <c r="F8" s="43" t="s">
        <v>56</v>
      </c>
      <c r="K8" s="43" t="s">
        <v>69</v>
      </c>
      <c r="Q8" t="s">
        <v>80</v>
      </c>
      <c r="R8" t="s">
        <v>81</v>
      </c>
      <c r="S8" t="s">
        <v>81</v>
      </c>
    </row>
    <row r="9" spans="1:19" x14ac:dyDescent="0.3">
      <c r="A9" s="1" t="s">
        <v>6</v>
      </c>
      <c r="B9" s="2">
        <v>10000</v>
      </c>
      <c r="C9" s="3">
        <v>0</v>
      </c>
      <c r="D9" s="30" cm="1">
        <f t="array" ref="D9">_xlfn.FORECAST.LINEAR(ROW()-8,_xlfn._xlws.FILTER($B$9:$B$20,ROW($B$9:$B$20)&lt;&gt;ROW($B$14)),_xlfn._xlws.FILTER(ROW($B$9:$B$20)-8,ROW($B$9:$B$20)&lt;&gt;ROW($B$14)))</f>
        <v>10250.573248407643</v>
      </c>
      <c r="F9" s="46" t="s">
        <v>57</v>
      </c>
      <c r="G9" s="46" t="s">
        <v>58</v>
      </c>
      <c r="H9" s="46" t="s">
        <v>59</v>
      </c>
      <c r="I9" s="46" t="s">
        <v>60</v>
      </c>
      <c r="K9" s="46" t="s">
        <v>3</v>
      </c>
      <c r="L9" s="46" t="s">
        <v>70</v>
      </c>
      <c r="M9" s="46" t="s">
        <v>71</v>
      </c>
      <c r="N9" s="46" t="s">
        <v>72</v>
      </c>
      <c r="O9" s="46" t="s">
        <v>73</v>
      </c>
      <c r="Q9" s="50">
        <f>B9</f>
        <v>10000</v>
      </c>
      <c r="R9" s="50">
        <f>D9</f>
        <v>10250.573248407643</v>
      </c>
      <c r="S9" s="7">
        <f>D9</f>
        <v>10250.573248407643</v>
      </c>
    </row>
    <row r="10" spans="1:19" x14ac:dyDescent="0.3">
      <c r="A10" s="4" t="s">
        <v>7</v>
      </c>
      <c r="B10" s="5">
        <v>10500</v>
      </c>
      <c r="C10" s="6">
        <f t="shared" ref="C10:C20" si="0">(B10-B9)/B9</f>
        <v>0.05</v>
      </c>
      <c r="D10" s="30" cm="1">
        <f t="array" ref="D10">_xlfn.FORECAST.LINEAR(ROW()-8,_xlfn._xlws.FILTER($B$9:$B$20,ROW($B$9:$B$20)&lt;&gt;ROW($B$14)),_xlfn._xlws.FILTER(ROW($B$9:$B$20)-8,ROW($B$9:$B$20)&lt;&gt;ROW($B$14)))</f>
        <v>10684.076433121019</v>
      </c>
      <c r="F10" s="47" t="s">
        <v>61</v>
      </c>
      <c r="G10" s="48">
        <f>SUM(B9:B11)</f>
        <v>31700</v>
      </c>
      <c r="H10" s="49">
        <f>G10/$B$21</f>
        <v>0.1966501240694789</v>
      </c>
      <c r="I10" s="48">
        <f>G10/3</f>
        <v>10566.666666666666</v>
      </c>
      <c r="K10" s="47" t="str">
        <f>A9</f>
        <v>January</v>
      </c>
      <c r="L10" s="48">
        <f>B9</f>
        <v>10000</v>
      </c>
      <c r="M10" s="52">
        <f>B9-$D$5</f>
        <v>-3433.3333333333339</v>
      </c>
      <c r="N10" s="53">
        <f>B9/$D$5</f>
        <v>0.74441687344913143</v>
      </c>
      <c r="O10" s="47" t="str">
        <f>IF(N10&gt;1.1,"Above Trend",IF(N10&lt;0.9,"Below Trend","Near Average"))</f>
        <v>Below Trend</v>
      </c>
      <c r="Q10" s="50">
        <f>B10</f>
        <v>10500</v>
      </c>
      <c r="R10" s="50">
        <f>D10</f>
        <v>10684.076433121019</v>
      </c>
      <c r="S10" s="7">
        <f>D10</f>
        <v>10684.076433121019</v>
      </c>
    </row>
    <row r="11" spans="1:19" x14ac:dyDescent="0.3">
      <c r="A11" s="1" t="s">
        <v>8</v>
      </c>
      <c r="B11" s="2">
        <v>11200</v>
      </c>
      <c r="C11" s="3">
        <f t="shared" si="0"/>
        <v>6.6666666666666666E-2</v>
      </c>
      <c r="D11" s="30" cm="1">
        <f t="array" ref="D11">_xlfn.FORECAST.LINEAR(ROW()-8,_xlfn._xlws.FILTER($B$9:$B$20,ROW($B$9:$B$20)&lt;&gt;ROW($B$14)),_xlfn._xlws.FILTER(ROW($B$9:$B$20)-8,ROW($B$9:$B$20)&lt;&gt;ROW($B$14)))</f>
        <v>11117.579617834395</v>
      </c>
      <c r="F11" s="47" t="s">
        <v>62</v>
      </c>
      <c r="G11" s="48">
        <f>SUM(B12:B14)</f>
        <v>46300</v>
      </c>
      <c r="H11" s="49">
        <f>G11/$B$21</f>
        <v>0.28722084367245659</v>
      </c>
      <c r="I11" s="48">
        <f>G11/3</f>
        <v>15433.333333333334</v>
      </c>
      <c r="K11" s="47" t="str">
        <f>A10</f>
        <v>February</v>
      </c>
      <c r="L11" s="48">
        <f>B10</f>
        <v>10500</v>
      </c>
      <c r="M11" s="52">
        <f>B10-$D$5</f>
        <v>-2933.3333333333339</v>
      </c>
      <c r="N11" s="53">
        <f>B10/$D$5</f>
        <v>0.78163771712158803</v>
      </c>
      <c r="O11" s="47" t="str">
        <f>IF(N11&gt;1.1,"Above Trend",IF(N11&lt;0.9,"Below Trend","Near Average"))</f>
        <v>Below Trend</v>
      </c>
      <c r="P11" s="45"/>
      <c r="Q11" s="50">
        <f>B11</f>
        <v>11200</v>
      </c>
      <c r="R11" s="50">
        <f>D11</f>
        <v>11117.579617834395</v>
      </c>
      <c r="S11" s="7">
        <f>D11</f>
        <v>11117.579617834395</v>
      </c>
    </row>
    <row r="12" spans="1:19" x14ac:dyDescent="0.3">
      <c r="A12" s="4" t="s">
        <v>9</v>
      </c>
      <c r="B12" s="5">
        <v>11800</v>
      </c>
      <c r="C12" s="6">
        <f t="shared" si="0"/>
        <v>5.3571428571428568E-2</v>
      </c>
      <c r="D12" s="30" cm="1">
        <f t="array" ref="D12">_xlfn.FORECAST.LINEAR(ROW()-8,_xlfn._xlws.FILTER($B$9:$B$20,ROW($B$9:$B$20)&lt;&gt;ROW($B$14)),_xlfn._xlws.FILTER(ROW($B$9:$B$20)-8,ROW($B$9:$B$20)&lt;&gt;ROW($B$14)))</f>
        <v>11551.082802547769</v>
      </c>
      <c r="F12" s="47" t="s">
        <v>63</v>
      </c>
      <c r="G12" s="48">
        <f>SUM(B15:B17)</f>
        <v>39500</v>
      </c>
      <c r="H12" s="49">
        <f>G12/$B$21</f>
        <v>0.24503722084367247</v>
      </c>
      <c r="I12" s="48">
        <f>G12/3</f>
        <v>13166.666666666666</v>
      </c>
      <c r="K12" s="47" t="str">
        <f>A11</f>
        <v>March</v>
      </c>
      <c r="L12" s="48">
        <f>B11</f>
        <v>11200</v>
      </c>
      <c r="M12" s="52">
        <f>B11-$D$5</f>
        <v>-2233.3333333333339</v>
      </c>
      <c r="N12" s="53">
        <f>B11/$D$5</f>
        <v>0.83374689826302728</v>
      </c>
      <c r="O12" s="47" t="str">
        <f>IF(N12&gt;1.1,"Above Trend",IF(N12&lt;0.9,"Below Trend","Near Average"))</f>
        <v>Below Trend</v>
      </c>
      <c r="P12" s="45"/>
      <c r="Q12" s="54">
        <f>B12</f>
        <v>11800</v>
      </c>
      <c r="R12" s="50">
        <f>D12</f>
        <v>11551.082802547769</v>
      </c>
      <c r="S12" s="7">
        <f>D12</f>
        <v>11551.082802547769</v>
      </c>
    </row>
    <row r="13" spans="1:19" x14ac:dyDescent="0.3">
      <c r="A13" s="1" t="s">
        <v>10</v>
      </c>
      <c r="B13" s="2">
        <v>12500</v>
      </c>
      <c r="C13" s="3">
        <f t="shared" si="0"/>
        <v>5.9322033898305086E-2</v>
      </c>
      <c r="D13" s="30" cm="1">
        <f t="array" ref="D13">_xlfn.FORECAST.LINEAR(ROW()-8,_xlfn._xlws.FILTER($B$9:$B$20,ROW($B$9:$B$20)&lt;&gt;ROW($B$14)),_xlfn._xlws.FILTER(ROW($B$9:$B$20)-8,ROW($B$9:$B$20)&lt;&gt;ROW($B$14)))</f>
        <v>11984.585987261145</v>
      </c>
      <c r="F13" s="47" t="s">
        <v>64</v>
      </c>
      <c r="G13" s="48">
        <f>SUM(B18:B20)</f>
        <v>43700</v>
      </c>
      <c r="H13" s="49">
        <f>G13/$B$21</f>
        <v>0.27109181141439204</v>
      </c>
      <c r="I13" s="48">
        <f>G13/3</f>
        <v>14566.666666666666</v>
      </c>
      <c r="K13" s="47" t="str">
        <f>A12</f>
        <v>April</v>
      </c>
      <c r="L13" s="48">
        <f>B12</f>
        <v>11800</v>
      </c>
      <c r="M13" s="52">
        <f>B12-$D$5</f>
        <v>-1633.3333333333339</v>
      </c>
      <c r="N13" s="53">
        <f>B12/$D$5</f>
        <v>0.87841191066997515</v>
      </c>
      <c r="O13" s="47" t="str">
        <f>IF(N13&gt;1.1,"Above Trend",IF(N13&lt;0.9,"Below Trend","Near Average"))</f>
        <v>Below Trend</v>
      </c>
      <c r="P13" s="45"/>
      <c r="Q13" s="54">
        <f>B13</f>
        <v>12500</v>
      </c>
      <c r="R13" s="50">
        <f>D13</f>
        <v>11984.585987261145</v>
      </c>
      <c r="S13" s="7">
        <f>D13</f>
        <v>11984.585987261145</v>
      </c>
    </row>
    <row r="14" spans="1:19" x14ac:dyDescent="0.3">
      <c r="A14" s="23" t="s">
        <v>11</v>
      </c>
      <c r="B14" s="24">
        <v>22000</v>
      </c>
      <c r="C14" s="25">
        <f t="shared" si="0"/>
        <v>0.76</v>
      </c>
      <c r="D14" s="31" cm="1">
        <f t="array" ref="D14">_xlfn.FORECAST.LINEAR(ROW()-8,_xlfn._xlws.FILTER($B$9:$B$20,ROW($B$9:$B$20)&lt;&gt;ROW($B$14)),_xlfn._xlws.FILTER(ROW($B$9:$B$20)-8,ROW($B$9:$B$20)&lt;&gt;ROW($B$14)))</f>
        <v>12418.089171974521</v>
      </c>
      <c r="K14" s="47" t="str">
        <f>A13</f>
        <v>May</v>
      </c>
      <c r="L14" s="48">
        <f>B13</f>
        <v>12500</v>
      </c>
      <c r="M14" s="52">
        <f>B13-$D$5</f>
        <v>-933.33333333333394</v>
      </c>
      <c r="N14" s="53">
        <f>B13/$D$5</f>
        <v>0.9305210918114144</v>
      </c>
      <c r="O14" s="47" t="str">
        <f>IF(N14&gt;1.1,"Above Trend",IF(N14&lt;0.9,"Below Trend","Near Average"))</f>
        <v>Near Average</v>
      </c>
      <c r="P14" s="45"/>
      <c r="Q14" s="54">
        <f>B14</f>
        <v>22000</v>
      </c>
      <c r="R14" s="50">
        <f>D14</f>
        <v>12418.089171974521</v>
      </c>
      <c r="S14" s="7">
        <f>D14</f>
        <v>12418.089171974521</v>
      </c>
    </row>
    <row r="15" spans="1:19" x14ac:dyDescent="0.3">
      <c r="A15" s="27" t="s">
        <v>12</v>
      </c>
      <c r="B15" s="28">
        <v>12800</v>
      </c>
      <c r="C15" s="29">
        <f t="shared" si="0"/>
        <v>-0.41818181818181815</v>
      </c>
      <c r="D15" s="30" cm="1">
        <f t="array" ref="D15">_xlfn.FORECAST.LINEAR(ROW()-8,_xlfn._xlws.FILTER($B$9:$B$20,ROW($B$9:$B$20)&lt;&gt;ROW($B$14)),_xlfn._xlws.FILTER(ROW($B$9:$B$20)-8,ROW($B$9:$B$20)&lt;&gt;ROW($B$14)))</f>
        <v>12851.592356687897</v>
      </c>
      <c r="F15" s="42" t="s">
        <v>65</v>
      </c>
      <c r="K15" s="47" t="str">
        <f>A14</f>
        <v>June</v>
      </c>
      <c r="L15" s="48">
        <f>B14</f>
        <v>22000</v>
      </c>
      <c r="M15" s="52">
        <f>B14-$D$5</f>
        <v>8566.6666666666661</v>
      </c>
      <c r="N15" s="53">
        <f>B14/$D$5</f>
        <v>1.6377171215880892</v>
      </c>
      <c r="O15" s="47" t="str">
        <f>IF(N15&gt;1.1,"Above Trend",IF(N15&lt;0.9,"Below Trend","Near Average"))</f>
        <v>Above Trend</v>
      </c>
      <c r="P15" s="45"/>
      <c r="Q15" s="54">
        <f>B15</f>
        <v>12800</v>
      </c>
      <c r="R15" s="50">
        <f>D15</f>
        <v>12851.592356687897</v>
      </c>
      <c r="S15" s="7">
        <f>D15</f>
        <v>12851.592356687897</v>
      </c>
    </row>
    <row r="16" spans="1:19" x14ac:dyDescent="0.3">
      <c r="A16" s="4" t="s">
        <v>13</v>
      </c>
      <c r="B16" s="5">
        <v>13100</v>
      </c>
      <c r="C16" s="6">
        <f t="shared" si="0"/>
        <v>2.34375E-2</v>
      </c>
      <c r="D16" s="30" cm="1">
        <f t="array" ref="D16">_xlfn.FORECAST.LINEAR(ROW()-8,_xlfn._xlws.FILTER($B$9:$B$20,ROW($B$9:$B$20)&lt;&gt;ROW($B$14)),_xlfn._xlws.FILTER(ROW($B$9:$B$20)-8,ROW($B$9:$B$20)&lt;&gt;ROW($B$14)))</f>
        <v>13285.095541401273</v>
      </c>
      <c r="F16" t="s">
        <v>66</v>
      </c>
      <c r="G16" t="str">
        <f>INDEX(F10:F13,MATCH(MAX(G10:G13),G10:G13,0))</f>
        <v>Q2 (Apr-Jun)</v>
      </c>
      <c r="H16" s="7">
        <f>MAX(G10:G13)</f>
        <v>46300</v>
      </c>
      <c r="K16" s="47" t="str">
        <f>A15</f>
        <v>July</v>
      </c>
      <c r="L16" s="48">
        <f>B15</f>
        <v>12800</v>
      </c>
      <c r="M16" s="52">
        <f>B15-$D$5</f>
        <v>-633.33333333333394</v>
      </c>
      <c r="N16" s="53">
        <f>B15/$D$5</f>
        <v>0.95285359801488834</v>
      </c>
      <c r="O16" s="47" t="str">
        <f>IF(N16&gt;1.1,"Above Trend",IF(N16&lt;0.9,"Below Trend","Near Average"))</f>
        <v>Near Average</v>
      </c>
      <c r="P16" s="45"/>
      <c r="Q16" s="54">
        <f>B16</f>
        <v>13100</v>
      </c>
      <c r="R16" s="50">
        <f>D16</f>
        <v>13285.095541401273</v>
      </c>
      <c r="S16" s="7">
        <f>D16</f>
        <v>13285.095541401273</v>
      </c>
    </row>
    <row r="17" spans="1:19" x14ac:dyDescent="0.3">
      <c r="A17" s="1" t="s">
        <v>14</v>
      </c>
      <c r="B17" s="2">
        <v>13600</v>
      </c>
      <c r="C17" s="3">
        <f t="shared" si="0"/>
        <v>3.8167938931297711E-2</v>
      </c>
      <c r="D17" s="30" cm="1">
        <f t="array" ref="D17">_xlfn.FORECAST.LINEAR(ROW()-8,_xlfn._xlws.FILTER($B$9:$B$20,ROW($B$9:$B$20)&lt;&gt;ROW($B$14)),_xlfn._xlws.FILTER(ROW($B$9:$B$20)-8,ROW($B$9:$B$20)&lt;&gt;ROW($B$14)))</f>
        <v>13718.598726114647</v>
      </c>
      <c r="F17" t="s">
        <v>67</v>
      </c>
      <c r="G17" t="str">
        <f>INDEX(F10:F13,MATCH(MIN(G10:G13),G10:G13,0))</f>
        <v>Q1 (Jan-Mar)</v>
      </c>
      <c r="H17" s="7">
        <f>MIN(G10:G13)</f>
        <v>31700</v>
      </c>
      <c r="K17" s="47" t="str">
        <f>A16</f>
        <v>August</v>
      </c>
      <c r="L17" s="48">
        <f>B16</f>
        <v>13100</v>
      </c>
      <c r="M17" s="52">
        <f>B16-$D$5</f>
        <v>-333.33333333333394</v>
      </c>
      <c r="N17" s="53">
        <f>B16/$D$5</f>
        <v>0.97518610421836227</v>
      </c>
      <c r="O17" s="47" t="str">
        <f>IF(N17&gt;1.1,"Above Trend",IF(N17&lt;0.9,"Below Trend","Near Average"))</f>
        <v>Near Average</v>
      </c>
      <c r="P17" s="45"/>
      <c r="Q17" s="54">
        <f>B17</f>
        <v>13600</v>
      </c>
      <c r="R17" s="50">
        <f>D17</f>
        <v>13718.598726114647</v>
      </c>
      <c r="S17" s="7">
        <f>D17</f>
        <v>13718.598726114647</v>
      </c>
    </row>
    <row r="18" spans="1:19" x14ac:dyDescent="0.3">
      <c r="A18" s="4" t="s">
        <v>15</v>
      </c>
      <c r="B18" s="5">
        <v>14000</v>
      </c>
      <c r="C18" s="6">
        <f t="shared" si="0"/>
        <v>2.9411764705882353E-2</v>
      </c>
      <c r="D18" s="30" cm="1">
        <f t="array" ref="D18">_xlfn.FORECAST.LINEAR(ROW()-8,_xlfn._xlws.FILTER($B$9:$B$20,ROW($B$9:$B$20)&lt;&gt;ROW($B$14)),_xlfn._xlws.FILTER(ROW($B$9:$B$20)-8,ROW($B$9:$B$20)&lt;&gt;ROW($B$14)))</f>
        <v>14152.101910828023</v>
      </c>
      <c r="F18" t="s">
        <v>68</v>
      </c>
      <c r="G18" s="44">
        <f>G13/G10-1</f>
        <v>0.37854889589905372</v>
      </c>
      <c r="K18" s="47" t="str">
        <f>A17</f>
        <v>September</v>
      </c>
      <c r="L18" s="48">
        <f>B17</f>
        <v>13600</v>
      </c>
      <c r="M18" s="52">
        <f>B17-$D$5</f>
        <v>166.66666666666606</v>
      </c>
      <c r="N18" s="53">
        <f>B17/$D$5</f>
        <v>1.0124069478908189</v>
      </c>
      <c r="O18" s="47" t="str">
        <f>IF(N18&gt;1.1,"Above Trend",IF(N18&lt;0.9,"Below Trend","Near Average"))</f>
        <v>Near Average</v>
      </c>
      <c r="P18" s="45"/>
      <c r="Q18" s="54">
        <f>B18</f>
        <v>14000</v>
      </c>
      <c r="R18" s="50">
        <f>D18</f>
        <v>14152.101910828023</v>
      </c>
      <c r="S18" s="7">
        <f>D18</f>
        <v>14152.101910828023</v>
      </c>
    </row>
    <row r="19" spans="1:19" x14ac:dyDescent="0.3">
      <c r="A19" s="1" t="s">
        <v>16</v>
      </c>
      <c r="B19" s="2">
        <v>14500</v>
      </c>
      <c r="C19" s="3">
        <f t="shared" si="0"/>
        <v>3.5714285714285712E-2</v>
      </c>
      <c r="D19" s="30" cm="1">
        <f t="array" ref="D19">_xlfn.FORECAST.LINEAR(ROW()-8,_xlfn._xlws.FILTER($B$9:$B$20,ROW($B$9:$B$20)&lt;&gt;ROW($B$14)),_xlfn._xlws.FILTER(ROW($B$9:$B$20)-8,ROW($B$9:$B$20)&lt;&gt;ROW($B$14)))</f>
        <v>14585.605095541399</v>
      </c>
      <c r="K19" s="47" t="str">
        <f>A18</f>
        <v>October</v>
      </c>
      <c r="L19" s="48">
        <f>B18</f>
        <v>14000</v>
      </c>
      <c r="M19" s="52">
        <f>B18-$D$5</f>
        <v>566.66666666666606</v>
      </c>
      <c r="N19" s="53">
        <f>B18/$D$5</f>
        <v>1.042183622828784</v>
      </c>
      <c r="O19" s="47" t="str">
        <f>IF(N19&gt;1.1,"Above Trend",IF(N19&lt;0.9,"Below Trend","Near Average"))</f>
        <v>Near Average</v>
      </c>
      <c r="P19" s="45"/>
      <c r="Q19" s="54">
        <f>B19</f>
        <v>14500</v>
      </c>
      <c r="R19" s="50">
        <f>D19</f>
        <v>14585.605095541399</v>
      </c>
      <c r="S19" s="7">
        <f>D19</f>
        <v>14585.605095541399</v>
      </c>
    </row>
    <row r="20" spans="1:19" x14ac:dyDescent="0.3">
      <c r="A20" s="4" t="s">
        <v>17</v>
      </c>
      <c r="B20" s="5">
        <v>15200</v>
      </c>
      <c r="C20" s="6">
        <f t="shared" si="0"/>
        <v>4.8275862068965517E-2</v>
      </c>
      <c r="D20" s="30" cm="1">
        <f t="array" ref="D20">_xlfn.FORECAST.LINEAR(ROW()-8,_xlfn._xlws.FILTER($B$9:$B$20,ROW($B$9:$B$20)&lt;&gt;ROW($B$14)),_xlfn._xlws.FILTER(ROW($B$9:$B$20)-8,ROW($B$9:$B$20)&lt;&gt;ROW($B$14)))</f>
        <v>15019.108280254775</v>
      </c>
      <c r="K20" s="47" t="str">
        <f>A19</f>
        <v>November</v>
      </c>
      <c r="L20" s="48">
        <f>B19</f>
        <v>14500</v>
      </c>
      <c r="M20" s="52">
        <f>B19-$D$5</f>
        <v>1066.6666666666661</v>
      </c>
      <c r="N20" s="53">
        <f>B19/$D$5</f>
        <v>1.0794044665012406</v>
      </c>
      <c r="O20" s="47" t="str">
        <f>IF(N20&gt;1.1,"Above Trend",IF(N20&lt;0.9,"Below Trend","Near Average"))</f>
        <v>Near Average</v>
      </c>
      <c r="P20" s="45"/>
      <c r="Q20" s="54">
        <f>B20</f>
        <v>15200</v>
      </c>
      <c r="R20" s="50">
        <f>D20</f>
        <v>15019.108280254775</v>
      </c>
      <c r="S20" s="7">
        <f>D20</f>
        <v>15019.108280254775</v>
      </c>
    </row>
    <row r="21" spans="1:19" ht="15" thickBot="1" x14ac:dyDescent="0.35">
      <c r="A21" s="15" t="s">
        <v>18</v>
      </c>
      <c r="B21" s="16">
        <f>SUM(B9:B20)</f>
        <v>161200</v>
      </c>
      <c r="C21" s="17">
        <f>AVERAGE(C10:C20)</f>
        <v>6.785324203409214E-2</v>
      </c>
      <c r="D21" s="18">
        <f>AVERAGE(D9:D20)</f>
        <v>12634.840764331209</v>
      </c>
      <c r="K21" s="47" t="str">
        <f>A20</f>
        <v>December</v>
      </c>
      <c r="L21" s="48">
        <f>B20</f>
        <v>15200</v>
      </c>
      <c r="M21" s="52">
        <f>B20-$D$5</f>
        <v>1766.6666666666661</v>
      </c>
      <c r="N21" s="53">
        <f>B20/$D$5</f>
        <v>1.1315136476426799</v>
      </c>
      <c r="O21" s="47" t="str">
        <f>IF(N21&gt;1.1,"Above Trend",IF(N21&lt;0.9,"Below Trend","Near Average"))</f>
        <v>Above Trend</v>
      </c>
      <c r="P21" s="45"/>
      <c r="Q21" s="45"/>
    </row>
    <row r="23" spans="1:19" x14ac:dyDescent="0.3">
      <c r="K23" s="42" t="s">
        <v>74</v>
      </c>
    </row>
    <row r="24" spans="1:19" ht="24" customHeight="1" x14ac:dyDescent="0.35">
      <c r="A24" s="36" t="s">
        <v>23</v>
      </c>
      <c r="B24" s="36"/>
      <c r="C24" s="36"/>
      <c r="D24" s="36"/>
      <c r="K24" t="s">
        <v>75</v>
      </c>
      <c r="L24">
        <f>COUNTIF(N10:N21,"&gt;1.1")</f>
        <v>2</v>
      </c>
    </row>
    <row r="25" spans="1:19" ht="24" customHeight="1" x14ac:dyDescent="0.3">
      <c r="A25" s="14" t="s">
        <v>24</v>
      </c>
      <c r="B25" s="14" t="s">
        <v>25</v>
      </c>
      <c r="C25" s="14" t="s">
        <v>26</v>
      </c>
      <c r="D25" s="14" t="s">
        <v>27</v>
      </c>
      <c r="K25" t="s">
        <v>76</v>
      </c>
      <c r="L25">
        <f>COUNTIF(N10:N21,"&lt;0.9")</f>
        <v>4</v>
      </c>
    </row>
    <row r="26" spans="1:19" x14ac:dyDescent="0.3">
      <c r="A26" s="19" t="s">
        <v>28</v>
      </c>
      <c r="B26" s="20">
        <f>B21</f>
        <v>161200</v>
      </c>
      <c r="C26" s="22" t="s">
        <v>29</v>
      </c>
      <c r="D26" s="19" t="s">
        <v>30</v>
      </c>
      <c r="K26" t="s">
        <v>77</v>
      </c>
      <c r="L26" t="str">
        <f>INDEX(K10:K21,MATCH(MAX(L10:L21),L10:L21,0))</f>
        <v>June</v>
      </c>
    </row>
    <row r="27" spans="1:19" x14ac:dyDescent="0.3">
      <c r="A27" s="19" t="s">
        <v>31</v>
      </c>
      <c r="B27" s="21">
        <f>B20/B9-1</f>
        <v>0.52</v>
      </c>
      <c r="C27" s="22" t="s">
        <v>32</v>
      </c>
      <c r="D27" s="19" t="s">
        <v>33</v>
      </c>
      <c r="K27" t="s">
        <v>78</v>
      </c>
      <c r="L27" t="str">
        <f>INDEX(K10:K21,MATCH(MIN(L10:L21),L10:L21,0))</f>
        <v>January</v>
      </c>
    </row>
    <row r="28" spans="1:19" x14ac:dyDescent="0.3">
      <c r="A28" s="19" t="s">
        <v>34</v>
      </c>
      <c r="B28" s="20">
        <f>AVERAGE(B9:B13,B15:B20)</f>
        <v>12654.545454545454</v>
      </c>
      <c r="C28" s="22" t="s">
        <v>35</v>
      </c>
      <c r="D28" s="19" t="s">
        <v>36</v>
      </c>
      <c r="K28" t="s">
        <v>79</v>
      </c>
      <c r="L28" s="51">
        <f>MAX(N10:N21)-MIN(N10:N21)</f>
        <v>0.89330024813895781</v>
      </c>
    </row>
    <row r="29" spans="1:19" ht="28.8" x14ac:dyDescent="0.3">
      <c r="A29" s="19" t="s">
        <v>37</v>
      </c>
      <c r="B29" s="21">
        <f>SUM(B15:B20)/SUM(B9:B14)-1</f>
        <v>6.6666666666666652E-2</v>
      </c>
      <c r="C29" s="22" t="s">
        <v>38</v>
      </c>
      <c r="D29" s="19" t="s">
        <v>33</v>
      </c>
    </row>
    <row r="30" spans="1:19" x14ac:dyDescent="0.3">
      <c r="A30" s="19" t="s">
        <v>39</v>
      </c>
      <c r="B30" s="21">
        <f>B14/AVERAGE(B9:B13,B15:B20)-1</f>
        <v>0.73850574712643691</v>
      </c>
      <c r="C30" s="22" t="s">
        <v>40</v>
      </c>
      <c r="D30" s="19" t="s">
        <v>41</v>
      </c>
    </row>
    <row r="31" spans="1:19" x14ac:dyDescent="0.3">
      <c r="A31" s="19" t="s">
        <v>42</v>
      </c>
      <c r="B31" s="21">
        <f>MEDIAN(C10:C13,C16:C20)</f>
        <v>4.8275862068965517E-2</v>
      </c>
      <c r="C31" s="22" t="s">
        <v>43</v>
      </c>
      <c r="D31" s="19" t="s">
        <v>33</v>
      </c>
    </row>
  </sheetData>
  <mergeCells count="9">
    <mergeCell ref="J4:K4"/>
    <mergeCell ref="J5:K5"/>
    <mergeCell ref="A24:D24"/>
    <mergeCell ref="A4:B4"/>
    <mergeCell ref="D4:E4"/>
    <mergeCell ref="A5:B5"/>
    <mergeCell ref="D5:E5"/>
    <mergeCell ref="G4:H4"/>
    <mergeCell ref="G5:H5"/>
  </mergeCells>
  <conditionalFormatting sqref="C9:C20">
    <cfRule type="cellIs" dxfId="2" priority="1" operator="greaterThan">
      <formula>0</formula>
    </cfRule>
    <cfRule type="cellIs" dxfId="1" priority="2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097C-460F-431B-8479-5E13BF37DCF7}">
  <dimension ref="A1:L37"/>
  <sheetViews>
    <sheetView showGridLines="0" workbookViewId="0"/>
  </sheetViews>
  <sheetFormatPr defaultRowHeight="14.4" x14ac:dyDescent="0.3"/>
  <cols>
    <col min="1" max="1" width="22.21875" customWidth="1"/>
    <col min="2" max="2" width="16.6640625" customWidth="1"/>
    <col min="3" max="3" width="19.44140625" customWidth="1"/>
    <col min="4" max="4" width="17.5546875" customWidth="1"/>
    <col min="5" max="5" width="3.33203125" customWidth="1"/>
    <col min="6" max="12" width="13.33203125" customWidth="1"/>
  </cols>
  <sheetData>
    <row r="1" spans="1:12" ht="28.05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4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ht="24" customHeight="1" x14ac:dyDescent="0.3">
      <c r="A4" s="37" t="s">
        <v>19</v>
      </c>
      <c r="B4" s="38"/>
      <c r="D4" s="37" t="s">
        <v>2</v>
      </c>
      <c r="E4" s="38"/>
    </row>
    <row r="5" spans="1:12" ht="24" customHeight="1" x14ac:dyDescent="0.4">
      <c r="A5" s="39">
        <f>SUM(B9:B20)</f>
        <v>161200</v>
      </c>
      <c r="B5" s="40"/>
      <c r="D5" s="39">
        <f>AVERAGE(B9:B20)</f>
        <v>13433.333333333334</v>
      </c>
      <c r="E5" s="40"/>
    </row>
    <row r="6" spans="1:12" x14ac:dyDescent="0.3">
      <c r="F6">
        <v>22</v>
      </c>
    </row>
    <row r="8" spans="1:12" x14ac:dyDescent="0.3">
      <c r="A8" s="12" t="s">
        <v>3</v>
      </c>
      <c r="B8" s="13" t="s">
        <v>4</v>
      </c>
      <c r="C8" s="14" t="s">
        <v>54</v>
      </c>
      <c r="D8" s="14" t="s">
        <v>55</v>
      </c>
    </row>
    <row r="9" spans="1:12" x14ac:dyDescent="0.3">
      <c r="A9" s="1" t="s">
        <v>6</v>
      </c>
      <c r="B9" s="2">
        <v>10000</v>
      </c>
      <c r="C9" s="7" t="e">
        <f>IF(OR(B9&lt;$B$29,B9&gt;$B$30),B9,NA())</f>
        <v>#N/A</v>
      </c>
      <c r="D9" s="7">
        <f>$B$30</f>
        <v>17837.5</v>
      </c>
    </row>
    <row r="10" spans="1:12" x14ac:dyDescent="0.3">
      <c r="A10" s="4" t="s">
        <v>7</v>
      </c>
      <c r="B10" s="5">
        <v>10500</v>
      </c>
      <c r="C10" s="7" t="e">
        <f t="shared" ref="C10:C20" si="0">IF(OR(B10&lt;$B$29,B10&gt;$B$30),B10,NA())</f>
        <v>#N/A</v>
      </c>
      <c r="D10" s="7">
        <f t="shared" ref="D10:D20" si="1">$B$30</f>
        <v>17837.5</v>
      </c>
    </row>
    <row r="11" spans="1:12" x14ac:dyDescent="0.3">
      <c r="A11" s="1" t="s">
        <v>8</v>
      </c>
      <c r="B11" s="2">
        <v>11200</v>
      </c>
      <c r="C11" s="7" t="e">
        <f t="shared" si="0"/>
        <v>#N/A</v>
      </c>
      <c r="D11" s="7">
        <f t="shared" si="1"/>
        <v>17837.5</v>
      </c>
    </row>
    <row r="12" spans="1:12" x14ac:dyDescent="0.3">
      <c r="A12" s="4" t="s">
        <v>9</v>
      </c>
      <c r="B12" s="5">
        <v>11800</v>
      </c>
      <c r="C12" s="7" t="e">
        <f t="shared" si="0"/>
        <v>#N/A</v>
      </c>
      <c r="D12" s="7">
        <f t="shared" si="1"/>
        <v>17837.5</v>
      </c>
    </row>
    <row r="13" spans="1:12" x14ac:dyDescent="0.3">
      <c r="A13" s="1" t="s">
        <v>10</v>
      </c>
      <c r="B13" s="2">
        <v>12500</v>
      </c>
      <c r="C13" s="7" t="e">
        <f t="shared" si="0"/>
        <v>#N/A</v>
      </c>
      <c r="D13" s="7">
        <f t="shared" si="1"/>
        <v>17837.5</v>
      </c>
    </row>
    <row r="14" spans="1:12" x14ac:dyDescent="0.3">
      <c r="A14" s="23" t="s">
        <v>11</v>
      </c>
      <c r="B14" s="24">
        <v>22000</v>
      </c>
      <c r="C14" s="7">
        <f t="shared" si="0"/>
        <v>22000</v>
      </c>
      <c r="D14" s="7">
        <f t="shared" si="1"/>
        <v>17837.5</v>
      </c>
    </row>
    <row r="15" spans="1:12" x14ac:dyDescent="0.3">
      <c r="A15" s="27" t="s">
        <v>12</v>
      </c>
      <c r="B15" s="28">
        <v>12800</v>
      </c>
      <c r="C15" s="7" t="e">
        <f t="shared" si="0"/>
        <v>#N/A</v>
      </c>
      <c r="D15" s="7">
        <f t="shared" si="1"/>
        <v>17837.5</v>
      </c>
    </row>
    <row r="16" spans="1:12" x14ac:dyDescent="0.3">
      <c r="A16" s="4" t="s">
        <v>13</v>
      </c>
      <c r="B16" s="5">
        <v>13100</v>
      </c>
      <c r="C16" s="7" t="e">
        <f t="shared" si="0"/>
        <v>#N/A</v>
      </c>
      <c r="D16" s="7">
        <f t="shared" si="1"/>
        <v>17837.5</v>
      </c>
    </row>
    <row r="17" spans="1:4" x14ac:dyDescent="0.3">
      <c r="A17" s="1" t="s">
        <v>14</v>
      </c>
      <c r="B17" s="2">
        <v>13600</v>
      </c>
      <c r="C17" s="7" t="e">
        <f t="shared" si="0"/>
        <v>#N/A</v>
      </c>
      <c r="D17" s="7">
        <f t="shared" si="1"/>
        <v>17837.5</v>
      </c>
    </row>
    <row r="18" spans="1:4" x14ac:dyDescent="0.3">
      <c r="A18" s="4" t="s">
        <v>15</v>
      </c>
      <c r="B18" s="5">
        <v>14000</v>
      </c>
      <c r="C18" s="7" t="e">
        <f t="shared" si="0"/>
        <v>#N/A</v>
      </c>
      <c r="D18" s="7">
        <f t="shared" si="1"/>
        <v>17837.5</v>
      </c>
    </row>
    <row r="19" spans="1:4" x14ac:dyDescent="0.3">
      <c r="A19" s="1" t="s">
        <v>16</v>
      </c>
      <c r="B19" s="2">
        <v>14500</v>
      </c>
      <c r="C19" s="7" t="e">
        <f t="shared" si="0"/>
        <v>#N/A</v>
      </c>
      <c r="D19" s="7">
        <f t="shared" si="1"/>
        <v>17837.5</v>
      </c>
    </row>
    <row r="20" spans="1:4" x14ac:dyDescent="0.3">
      <c r="A20" s="4" t="s">
        <v>17</v>
      </c>
      <c r="B20" s="5">
        <v>15200</v>
      </c>
      <c r="C20" s="7" t="e">
        <f t="shared" si="0"/>
        <v>#N/A</v>
      </c>
      <c r="D20" s="7">
        <f t="shared" si="1"/>
        <v>17837.5</v>
      </c>
    </row>
    <row r="21" spans="1:4" ht="15" thickBot="1" x14ac:dyDescent="0.35">
      <c r="A21" s="15" t="s">
        <v>18</v>
      </c>
      <c r="B21" s="16">
        <f>SUM(B9:B20)</f>
        <v>161200</v>
      </c>
    </row>
    <row r="22" spans="1:4" ht="15" thickTop="1" x14ac:dyDescent="0.3"/>
    <row r="24" spans="1:4" ht="24" customHeight="1" x14ac:dyDescent="0.35">
      <c r="A24" s="36" t="s">
        <v>44</v>
      </c>
      <c r="B24" s="36"/>
      <c r="C24" s="36"/>
      <c r="D24" s="36"/>
    </row>
    <row r="25" spans="1:4" ht="24" customHeight="1" x14ac:dyDescent="0.3">
      <c r="A25" s="14" t="s">
        <v>45</v>
      </c>
      <c r="B25" s="14" t="s">
        <v>46</v>
      </c>
      <c r="C25" s="14" t="s">
        <v>47</v>
      </c>
      <c r="D25" s="14" t="s">
        <v>48</v>
      </c>
    </row>
    <row r="26" spans="1:4" ht="14.4" customHeight="1" x14ac:dyDescent="0.3">
      <c r="A26" s="19" t="s">
        <v>49</v>
      </c>
      <c r="B26" s="32">
        <f>_xlfn.QUARTILE.INC($B$9:$B$20,1)</f>
        <v>11650</v>
      </c>
      <c r="C26" s="33" t="str" cm="1">
        <f t="array" ref="C26">_xlfn._xlws.FILTER($A$9:$A$20,($B$9:$B$20&lt;$B$29)+($B$9:$B$20&gt;$B$30),"None")</f>
        <v>June</v>
      </c>
      <c r="D26" s="26" cm="1">
        <f t="array" ref="D26">_xlfn._xlws.FILTER($B$9:$B$20,($B$9:$B$20&lt;$B$29)+($B$9:$B$20&gt;$B$30),"")</f>
        <v>22000</v>
      </c>
    </row>
    <row r="27" spans="1:4" ht="14.4" customHeight="1" x14ac:dyDescent="0.3">
      <c r="A27" s="19" t="s">
        <v>50</v>
      </c>
      <c r="B27" s="32">
        <f>_xlfn.QUARTILE.INC($B$9:$B$20,3)</f>
        <v>14125</v>
      </c>
      <c r="C27" s="19"/>
      <c r="D27" s="20"/>
    </row>
    <row r="28" spans="1:4" ht="14.4" customHeight="1" x14ac:dyDescent="0.3">
      <c r="A28" s="19" t="s">
        <v>51</v>
      </c>
      <c r="B28" s="32">
        <f>B27-B26</f>
        <v>2475</v>
      </c>
      <c r="C28" s="19"/>
      <c r="D28" s="20"/>
    </row>
    <row r="29" spans="1:4" ht="28.8" customHeight="1" x14ac:dyDescent="0.3">
      <c r="A29" s="19" t="s">
        <v>52</v>
      </c>
      <c r="B29" s="32">
        <f>B26-1.5*B28</f>
        <v>7937.5</v>
      </c>
      <c r="C29" s="19"/>
      <c r="D29" s="20"/>
    </row>
    <row r="30" spans="1:4" ht="14.4" customHeight="1" x14ac:dyDescent="0.3">
      <c r="A30" s="19" t="s">
        <v>53</v>
      </c>
      <c r="B30" s="32">
        <f>B27+1.5*B28</f>
        <v>17837.5</v>
      </c>
      <c r="C30" s="19"/>
      <c r="D30" s="20"/>
    </row>
    <row r="31" spans="1:4" ht="14.4" customHeight="1" x14ac:dyDescent="0.3">
      <c r="D31" s="7"/>
    </row>
    <row r="32" spans="1:4" x14ac:dyDescent="0.3">
      <c r="D32" s="7"/>
    </row>
    <row r="33" spans="4:4" x14ac:dyDescent="0.3">
      <c r="D33" s="7"/>
    </row>
    <row r="34" spans="4:4" x14ac:dyDescent="0.3">
      <c r="D34" s="7"/>
    </row>
    <row r="35" spans="4:4" x14ac:dyDescent="0.3">
      <c r="D35" s="7"/>
    </row>
    <row r="36" spans="4:4" x14ac:dyDescent="0.3">
      <c r="D36" s="7"/>
    </row>
    <row r="37" spans="4:4" x14ac:dyDescent="0.3">
      <c r="D37" s="7"/>
    </row>
  </sheetData>
  <mergeCells count="5">
    <mergeCell ref="A24:D24"/>
    <mergeCell ref="A4:B4"/>
    <mergeCell ref="D4:E4"/>
    <mergeCell ref="A5:B5"/>
    <mergeCell ref="D5:E5"/>
  </mergeCells>
  <conditionalFormatting sqref="A9:B20">
    <cfRule type="expression" dxfId="0" priority="1">
      <formula>OR($B9&lt;$B$29,$B9&gt;$B$30)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2026-09-27T16:38:32Z</dcterms:created>
  <dcterms:modified xsi:type="dcterms:W3CDTF">2026-09-28T07:48:16Z</dcterms:modified>
</cp:coreProperties>
</file>