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20001_{7889706F-299D-45DB-8A82-66FB1EDA2070}" xr6:coauthVersionLast="47" xr6:coauthVersionMax="47" xr10:uidLastSave="{00000000-0000-0000-0000-000000000000}"/>
  <bookViews>
    <workbookView xWindow="-108" yWindow="-108" windowWidth="23256" windowHeight="12456" tabRatio="726" xr2:uid="{00000000-000D-0000-FFFF-FFFF00000000}"/>
  </bookViews>
  <sheets>
    <sheet name="Transactions" sheetId="2" r:id="rId1"/>
    <sheet name="Budget vs Acutal" sheetId="8" r:id="rId2"/>
    <sheet name="Monthly Revenue" sheetId="9" r:id="rId3"/>
    <sheet name="Outstanding Balances" sheetId="10" r:id="rId4"/>
    <sheet name="Monthly Cash Position" sheetId="11" r:id="rId5"/>
    <sheet name="Revenue Forecast" sheetId="12" r:id="rId6"/>
    <sheet name="Unusual Transactions" sheetId="13" r:id="rId7"/>
    <sheet name="Product Profitability" sheetId="14" r:id="rId8"/>
    <sheet name="Quarterly Variance" sheetId="15" r:id="rId9"/>
    <sheet name="Financial Dashboard" sheetId="16" r:id="rId10"/>
    <sheet name="Payroll Analysis" sheetId="17" r:id="rId1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7" l="1"/>
  <c r="D13" i="17"/>
  <c r="D10" i="17"/>
  <c r="D14" i="17"/>
  <c r="D9" i="17"/>
  <c r="D12" i="17"/>
  <c r="C11" i="17"/>
  <c r="C13" i="17"/>
  <c r="C10" i="17"/>
  <c r="C14" i="17"/>
  <c r="C9" i="17"/>
  <c r="C12" i="17"/>
  <c r="C5" i="17"/>
  <c r="A5" i="17"/>
  <c r="D25" i="16"/>
  <c r="D24" i="16"/>
  <c r="D23" i="16"/>
  <c r="D22" i="16"/>
  <c r="D21" i="16"/>
  <c r="D20" i="16"/>
  <c r="C25" i="16"/>
  <c r="C24" i="16"/>
  <c r="C23" i="16"/>
  <c r="C22" i="16"/>
  <c r="C21" i="16"/>
  <c r="C20" i="16"/>
  <c r="B25" i="16"/>
  <c r="B24" i="16"/>
  <c r="B23" i="16"/>
  <c r="B22" i="16"/>
  <c r="B21" i="16"/>
  <c r="B20" i="16"/>
  <c r="M5" i="16"/>
  <c r="E15" i="16"/>
  <c r="E14" i="16"/>
  <c r="E13" i="16"/>
  <c r="E12" i="16"/>
  <c r="E11" i="16"/>
  <c r="E10" i="16"/>
  <c r="D15" i="16"/>
  <c r="D14" i="16"/>
  <c r="D13" i="16"/>
  <c r="D12" i="16"/>
  <c r="D11" i="16"/>
  <c r="D10" i="16"/>
  <c r="C15" i="16"/>
  <c r="C14" i="16"/>
  <c r="C13" i="16"/>
  <c r="C12" i="16"/>
  <c r="C11" i="16"/>
  <c r="C10" i="16"/>
  <c r="B15" i="16"/>
  <c r="B14" i="16"/>
  <c r="B13" i="16"/>
  <c r="B12" i="16"/>
  <c r="B11" i="16"/>
  <c r="B10" i="16"/>
  <c r="J5" i="16"/>
  <c r="G5" i="16"/>
  <c r="D5" i="16"/>
  <c r="A5" i="16"/>
  <c r="D10" i="15"/>
  <c r="E10" i="15" s="1"/>
  <c r="D14" i="15"/>
  <c r="E14" i="15" s="1"/>
  <c r="D13" i="15"/>
  <c r="E13" i="15" s="1"/>
  <c r="D11" i="15"/>
  <c r="E11" i="15" s="1"/>
  <c r="D9" i="15"/>
  <c r="E9" i="15" s="1"/>
  <c r="D12" i="15"/>
  <c r="E12" i="15" s="1"/>
  <c r="C10" i="15"/>
  <c r="C14" i="15"/>
  <c r="C13" i="15"/>
  <c r="C11" i="15"/>
  <c r="C9" i="15"/>
  <c r="C12" i="15"/>
  <c r="E5" i="15"/>
  <c r="C5" i="15"/>
  <c r="A5" i="15"/>
  <c r="D14" i="14"/>
  <c r="D10" i="14"/>
  <c r="D11" i="14"/>
  <c r="D13" i="14"/>
  <c r="D9" i="14"/>
  <c r="D12" i="14"/>
  <c r="C14" i="14"/>
  <c r="E14" i="14" s="1"/>
  <c r="F14" i="14" s="1"/>
  <c r="C10" i="14"/>
  <c r="E10" i="14" s="1"/>
  <c r="F10" i="14" s="1"/>
  <c r="C11" i="14"/>
  <c r="E11" i="14" s="1"/>
  <c r="F11" i="14" s="1"/>
  <c r="C13" i="14"/>
  <c r="E13" i="14" s="1"/>
  <c r="F13" i="14" s="1"/>
  <c r="C9" i="14"/>
  <c r="E9" i="14" s="1"/>
  <c r="F9" i="14" s="1"/>
  <c r="A9" i="14" s="1"/>
  <c r="C12" i="14"/>
  <c r="E12" i="14" s="1"/>
  <c r="F12" i="14" s="1"/>
  <c r="A12" i="14" s="1"/>
  <c r="E5" i="14"/>
  <c r="C5" i="14"/>
  <c r="A5" i="14"/>
  <c r="G5" i="13"/>
  <c r="E5" i="13"/>
  <c r="C5" i="13"/>
  <c r="A5" i="13"/>
  <c r="A16" i="12"/>
  <c r="A17" i="12" s="1"/>
  <c r="A18" i="12" s="1"/>
  <c r="A19" i="12" s="1"/>
  <c r="A20" i="12" s="1"/>
  <c r="A15" i="12"/>
  <c r="A9" i="12"/>
  <c r="A10" i="12"/>
  <c r="A11" i="12"/>
  <c r="A12" i="12"/>
  <c r="A13" i="12"/>
  <c r="A14" i="12"/>
  <c r="C13" i="11"/>
  <c r="C12" i="11"/>
  <c r="C11" i="11"/>
  <c r="C10" i="11"/>
  <c r="C9" i="11"/>
  <c r="C8" i="11"/>
  <c r="C5" i="11" s="1"/>
  <c r="B13" i="11"/>
  <c r="D13" i="11" s="1"/>
  <c r="B12" i="11"/>
  <c r="D12" i="11" s="1"/>
  <c r="B11" i="11"/>
  <c r="D11" i="11" s="1"/>
  <c r="B10" i="11"/>
  <c r="D10" i="11" s="1"/>
  <c r="B9" i="11"/>
  <c r="D9" i="11" s="1"/>
  <c r="B8" i="11"/>
  <c r="C14" i="10"/>
  <c r="C13" i="10"/>
  <c r="C12" i="10"/>
  <c r="C11" i="10"/>
  <c r="C10" i="10"/>
  <c r="C9" i="10"/>
  <c r="B14" i="10"/>
  <c r="B13" i="10"/>
  <c r="B12" i="10"/>
  <c r="B11" i="10"/>
  <c r="B10" i="10"/>
  <c r="B9" i="10"/>
  <c r="C5" i="10"/>
  <c r="A5" i="10"/>
  <c r="B14" i="9"/>
  <c r="B14" i="12" s="1"/>
  <c r="B13" i="9"/>
  <c r="B12" i="9"/>
  <c r="B12" i="12" s="1"/>
  <c r="B11" i="9"/>
  <c r="B11" i="12" s="1"/>
  <c r="B10" i="9"/>
  <c r="B10" i="12" s="1"/>
  <c r="B9" i="9"/>
  <c r="B9" i="12" s="1"/>
  <c r="C8" i="8"/>
  <c r="C7" i="8"/>
  <c r="C6" i="8"/>
  <c r="C5" i="8"/>
  <c r="B8" i="8"/>
  <c r="D8" i="8" s="1"/>
  <c r="E8" i="8" s="1"/>
  <c r="B7" i="8"/>
  <c r="D7" i="8" s="1"/>
  <c r="E7" i="8" s="1"/>
  <c r="B6" i="8"/>
  <c r="D6" i="8" s="1"/>
  <c r="E6" i="8" s="1"/>
  <c r="B5" i="8"/>
  <c r="D5" i="8" s="1"/>
  <c r="E5" i="8" s="1"/>
  <c r="A11" i="17" l="1"/>
  <c r="E11" i="17"/>
  <c r="A13" i="17"/>
  <c r="E13" i="17"/>
  <c r="E10" i="17"/>
  <c r="A10" i="17"/>
  <c r="E14" i="17"/>
  <c r="A14" i="17"/>
  <c r="E9" i="17"/>
  <c r="A9" i="17"/>
  <c r="E12" i="17"/>
  <c r="A12" i="17"/>
  <c r="G5" i="17"/>
  <c r="E5" i="17"/>
  <c r="F10" i="15"/>
  <c r="G10" i="15"/>
  <c r="G14" i="15"/>
  <c r="F14" i="15"/>
  <c r="A14" i="15" s="1"/>
  <c r="G13" i="15"/>
  <c r="F13" i="15"/>
  <c r="A13" i="15" s="1"/>
  <c r="F11" i="15"/>
  <c r="A11" i="15" s="1"/>
  <c r="G11" i="15"/>
  <c r="F9" i="15"/>
  <c r="G9" i="15"/>
  <c r="G12" i="15"/>
  <c r="F12" i="15"/>
  <c r="A14" i="14"/>
  <c r="A11" i="14"/>
  <c r="A10" i="14"/>
  <c r="A13" i="14"/>
  <c r="G5" i="14"/>
  <c r="C10" i="9"/>
  <c r="D10" i="9" s="1"/>
  <c r="C12" i="9"/>
  <c r="D12" i="9" s="1"/>
  <c r="C11" i="9"/>
  <c r="D11" i="9" s="1"/>
  <c r="C13" i="9"/>
  <c r="D13" i="9" s="1"/>
  <c r="B13" i="12"/>
  <c r="C19" i="12" s="1"/>
  <c r="C18" i="12"/>
  <c r="C20" i="12"/>
  <c r="C16" i="12"/>
  <c r="C17" i="12"/>
  <c r="A5" i="12"/>
  <c r="C15" i="12"/>
  <c r="A5" i="11"/>
  <c r="D8" i="11"/>
  <c r="C14" i="9"/>
  <c r="D14" i="9" s="1"/>
  <c r="G5" i="9"/>
  <c r="E5" i="9"/>
  <c r="C5" i="9"/>
  <c r="A5" i="9"/>
  <c r="G5" i="15" l="1"/>
  <c r="A9" i="15"/>
  <c r="A12" i="15"/>
  <c r="A10" i="15"/>
  <c r="C5" i="12"/>
  <c r="E5" i="12" s="1"/>
  <c r="E8" i="11"/>
  <c r="E9" i="11" s="1"/>
  <c r="E10" i="11" s="1"/>
  <c r="E11" i="11" s="1"/>
  <c r="E12" i="11" s="1"/>
  <c r="E13" i="11" s="1"/>
  <c r="G5" i="11" s="1"/>
  <c r="E5" i="11"/>
</calcChain>
</file>

<file path=xl/sharedStrings.xml><?xml version="1.0" encoding="utf-8"?>
<sst xmlns="http://schemas.openxmlformats.org/spreadsheetml/2006/main" count="870" uniqueCount="212">
  <si>
    <t>Total Revenue</t>
  </si>
  <si>
    <t>Total Profit</t>
  </si>
  <si>
    <t>Sales</t>
  </si>
  <si>
    <t>Travel</t>
  </si>
  <si>
    <t>CloudSoft</t>
  </si>
  <si>
    <t>Business travel expense</t>
  </si>
  <si>
    <t>Paid</t>
  </si>
  <si>
    <t>Q2</t>
  </si>
  <si>
    <t>TXN-0002</t>
  </si>
  <si>
    <t>Operations</t>
  </si>
  <si>
    <t>AdWorks</t>
  </si>
  <si>
    <t>Q1</t>
  </si>
  <si>
    <t>TXN-0003</t>
  </si>
  <si>
    <t>TXN-0004</t>
  </si>
  <si>
    <t>IT</t>
  </si>
  <si>
    <t>Payroll</t>
  </si>
  <si>
    <t>TXN-0005</t>
  </si>
  <si>
    <t>Marketing</t>
  </si>
  <si>
    <t>PowerGrid</t>
  </si>
  <si>
    <t>Marketing campaign</t>
  </si>
  <si>
    <t>TXN-0006</t>
  </si>
  <si>
    <t>Finance</t>
  </si>
  <si>
    <t>OfficeMart</t>
  </si>
  <si>
    <t>Pending</t>
  </si>
  <si>
    <t>TXN-0007</t>
  </si>
  <si>
    <t>Utilities</t>
  </si>
  <si>
    <t>ABC Travel</t>
  </si>
  <si>
    <t>Monthly utility bill</t>
  </si>
  <si>
    <t>TXN-0008</t>
  </si>
  <si>
    <t>Software</t>
  </si>
  <si>
    <t>Software subscription</t>
  </si>
  <si>
    <t>TXN-0009</t>
  </si>
  <si>
    <t>TXN-0010</t>
  </si>
  <si>
    <t>TXN-0011</t>
  </si>
  <si>
    <t>Office Supplies</t>
  </si>
  <si>
    <t>Office supplies purchase</t>
  </si>
  <si>
    <t>TXN-0012</t>
  </si>
  <si>
    <t>Employee payroll cost</t>
  </si>
  <si>
    <t>TXN-0013</t>
  </si>
  <si>
    <t>TXN-0014</t>
  </si>
  <si>
    <t>TXN-0015</t>
  </si>
  <si>
    <t>TXN-0016</t>
  </si>
  <si>
    <t>TXN-0017</t>
  </si>
  <si>
    <t>TXN-0018</t>
  </si>
  <si>
    <t>TXN-0019</t>
  </si>
  <si>
    <t>HR</t>
  </si>
  <si>
    <t>TXN-0020</t>
  </si>
  <si>
    <t>TXN-0021</t>
  </si>
  <si>
    <t>TXN-0022</t>
  </si>
  <si>
    <t>TXN-0023</t>
  </si>
  <si>
    <t>TXN-0024</t>
  </si>
  <si>
    <t>TXN-0025</t>
  </si>
  <si>
    <t>TXN-0026</t>
  </si>
  <si>
    <t>TXN-0027</t>
  </si>
  <si>
    <t>TXN-0028</t>
  </si>
  <si>
    <t>TXN-0029</t>
  </si>
  <si>
    <t>TXN-0030</t>
  </si>
  <si>
    <t>TXN-0031</t>
  </si>
  <si>
    <t>TXN-0032</t>
  </si>
  <si>
    <t>TXN-0033</t>
  </si>
  <si>
    <t>TXN-0034</t>
  </si>
  <si>
    <t>TXN-0035</t>
  </si>
  <si>
    <t>TXN-0036</t>
  </si>
  <si>
    <t>TXN-0037</t>
  </si>
  <si>
    <t>TXN-0038</t>
  </si>
  <si>
    <t>TXN-0039</t>
  </si>
  <si>
    <t>TXN-0040</t>
  </si>
  <si>
    <t>TXN-0041</t>
  </si>
  <si>
    <t>TXN-0042</t>
  </si>
  <si>
    <t>TXN-0043</t>
  </si>
  <si>
    <t>TXN-0044</t>
  </si>
  <si>
    <t>TXN-0045</t>
  </si>
  <si>
    <t>TXN-0046</t>
  </si>
  <si>
    <t>TXN-0047</t>
  </si>
  <si>
    <t>TXN-0048</t>
  </si>
  <si>
    <t>TXN-0049</t>
  </si>
  <si>
    <t>TXN-0050</t>
  </si>
  <si>
    <t>TXN-0051</t>
  </si>
  <si>
    <t>TXN-0052</t>
  </si>
  <si>
    <t>TXN-0053</t>
  </si>
  <si>
    <t>TXN-0054</t>
  </si>
  <si>
    <t>TXN-0055</t>
  </si>
  <si>
    <t>TXN-0056</t>
  </si>
  <si>
    <t>TXN-0057</t>
  </si>
  <si>
    <t>TXN-0058</t>
  </si>
  <si>
    <t>TXN-0059</t>
  </si>
  <si>
    <t>TXN-0060</t>
  </si>
  <si>
    <t>TXN-0061</t>
  </si>
  <si>
    <t>TXN-0062</t>
  </si>
  <si>
    <t>TXN-0063</t>
  </si>
  <si>
    <t>TXN-0064</t>
  </si>
  <si>
    <t>TXN-0065</t>
  </si>
  <si>
    <t>TXN-0066</t>
  </si>
  <si>
    <t>TXN-0067</t>
  </si>
  <si>
    <t>TXN-0068</t>
  </si>
  <si>
    <t>TXN-0069</t>
  </si>
  <si>
    <t>TXN-0070</t>
  </si>
  <si>
    <t>TXN-0071</t>
  </si>
  <si>
    <t>TXN-0072</t>
  </si>
  <si>
    <t>TXN-0073</t>
  </si>
  <si>
    <t>TXN-0074</t>
  </si>
  <si>
    <t>TXN-0075</t>
  </si>
  <si>
    <t>TXN-0076</t>
  </si>
  <si>
    <t>TXN-0077</t>
  </si>
  <si>
    <t>TXN-0078</t>
  </si>
  <si>
    <t>TXN-0079</t>
  </si>
  <si>
    <t>TXN-0080</t>
  </si>
  <si>
    <t>TXN-0081</t>
  </si>
  <si>
    <t>TXN-0082</t>
  </si>
  <si>
    <t>TXN-0083</t>
  </si>
  <si>
    <t>TXN-0084</t>
  </si>
  <si>
    <t>TXN-0085</t>
  </si>
  <si>
    <t>TXN-0086</t>
  </si>
  <si>
    <t>TXN-0087</t>
  </si>
  <si>
    <t>TXN-0088</t>
  </si>
  <si>
    <t>TXN-0089</t>
  </si>
  <si>
    <t>TXN-0090</t>
  </si>
  <si>
    <t>TXN-0091</t>
  </si>
  <si>
    <t>TXN-0092</t>
  </si>
  <si>
    <t>TXN-0093</t>
  </si>
  <si>
    <t>TXN-0094</t>
  </si>
  <si>
    <t>TXN-0095</t>
  </si>
  <si>
    <t>TXN-0096</t>
  </si>
  <si>
    <t>TXN-0097</t>
  </si>
  <si>
    <t>TXN-0098</t>
  </si>
  <si>
    <t>TXN-0099</t>
  </si>
  <si>
    <t>TXN-0100</t>
  </si>
  <si>
    <t>Category</t>
  </si>
  <si>
    <t>Budget</t>
  </si>
  <si>
    <t>Variance</t>
  </si>
  <si>
    <t>Variance %</t>
  </si>
  <si>
    <t>Month</t>
  </si>
  <si>
    <t>Revenue</t>
  </si>
  <si>
    <t>Profit</t>
  </si>
  <si>
    <t>Budgeted Expenses</t>
  </si>
  <si>
    <t>Customer</t>
  </si>
  <si>
    <t>Status</t>
  </si>
  <si>
    <t>Department</t>
  </si>
  <si>
    <t>Product</t>
  </si>
  <si>
    <t>Cost</t>
  </si>
  <si>
    <t>Profit Margin</t>
  </si>
  <si>
    <t>Transaction No</t>
  </si>
  <si>
    <t>Date</t>
  </si>
  <si>
    <t>Notes</t>
  </si>
  <si>
    <t>Amount</t>
  </si>
  <si>
    <t>Quarter</t>
  </si>
  <si>
    <t>Expense Budget Comparison</t>
  </si>
  <si>
    <t>Categories where total actual spending exceeds total budget</t>
  </si>
  <si>
    <t>Actual Expenses</t>
  </si>
  <si>
    <t>Over Budget</t>
  </si>
  <si>
    <t>Monthly Revenue Trend</t>
  </si>
  <si>
    <t>Amount is treated as revenue, covering all 99 transactions</t>
  </si>
  <si>
    <t>Peak Month Revenue</t>
  </si>
  <si>
    <t>Average per Month</t>
  </si>
  <si>
    <t>First-to-Last Growth</t>
  </si>
  <si>
    <t>MoM Change</t>
  </si>
  <si>
    <t>Trend</t>
  </si>
  <si>
    <t>Baseline</t>
  </si>
  <si>
    <t>Outstanding Balances by Customer</t>
  </si>
  <si>
    <t>Overdue proxy: all transactions with Status = Pending</t>
  </si>
  <si>
    <t>Total Outstanding</t>
  </si>
  <si>
    <t>Overdue Transactions</t>
  </si>
  <si>
    <t>Outstanding Balance</t>
  </si>
  <si>
    <t>Monthly Cash Position</t>
  </si>
  <si>
    <t>Cash Flow Type was assigned randomly for analysis across all 99 transactions</t>
  </si>
  <si>
    <t>Total Inflows</t>
  </si>
  <si>
    <t>Total Outflows</t>
  </si>
  <si>
    <t>Net Cash Flow</t>
  </si>
  <si>
    <t>Ending Cash Position</t>
  </si>
  <si>
    <t>Cash Inflows</t>
  </si>
  <si>
    <t>Cash Outflows</t>
  </si>
  <si>
    <t>Cumulative Cash Position</t>
  </si>
  <si>
    <t>Six-Month Revenue Forecast</t>
  </si>
  <si>
    <t>Linear trend forecast based on historical monthly revenue from Monthly Revenue</t>
  </si>
  <si>
    <t>Historical Revenue</t>
  </si>
  <si>
    <t>Forecast Revenue</t>
  </si>
  <si>
    <t>Forecast Period Total</t>
  </si>
  <si>
    <t>Actual Revenue</t>
  </si>
  <si>
    <t>Period</t>
  </si>
  <si>
    <t>Historical</t>
  </si>
  <si>
    <t>Forecast</t>
  </si>
  <si>
    <t>Unusual High-Value Transactions</t>
  </si>
  <si>
    <t>Definition: Amount &gt; average + 2 sample standard deviations</t>
  </si>
  <si>
    <t>Average Amount</t>
  </si>
  <si>
    <t>Std. Deviation</t>
  </si>
  <si>
    <t>Outlier Threshold</t>
  </si>
  <si>
    <t>Transactions Flagged</t>
  </si>
  <si>
    <t>Above Threshold</t>
  </si>
  <si>
    <t>Product Profitability Ranking</t>
  </si>
  <si>
    <t>Product = Customer | Revenue = Amount | Cost = Budget | Ranked by profit margin</t>
  </si>
  <si>
    <t>Products Ranked</t>
  </si>
  <si>
    <t>Total Cost</t>
  </si>
  <si>
    <t>Rank</t>
  </si>
  <si>
    <t>Department Expense Variance by Quarter</t>
  </si>
  <si>
    <t>Current quarter: Q2 | Previous quarter: Q1 | Ranked by absolute variance</t>
  </si>
  <si>
    <t>Q1 Expenses</t>
  </si>
  <si>
    <t>Q2 Expenses</t>
  </si>
  <si>
    <t>Net Variance</t>
  </si>
  <si>
    <t>Largest Variance Dept.</t>
  </si>
  <si>
    <t>Absolute Variance</t>
  </si>
  <si>
    <t>Expense &amp; Budget Dashboard</t>
  </si>
  <si>
    <t>Actual expenses and budget variances across all 99 transactions | Revenue and profit unavailable in source data</t>
  </si>
  <si>
    <t>Categories Over Budget</t>
  </si>
  <si>
    <t>Payroll Costs by Department</t>
  </si>
  <si>
    <t>Employee expenses are transactions where Category = Payroll</t>
  </si>
  <si>
    <t>Total Payroll Cost</t>
  </si>
  <si>
    <t>Payroll Transactions</t>
  </si>
  <si>
    <t>Highest-Cost Department</t>
  </si>
  <si>
    <t>Top Department Share</t>
  </si>
  <si>
    <t>Payroll Cost</t>
  </si>
  <si>
    <t>Transactions</t>
  </si>
  <si>
    <t>Share of 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</si>
</sst>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yyyy\-mm\-dd"/>
    <numFmt numFmtId="165" formatCode="dd\-mmm\-yyyy"/>
    <numFmt numFmtId="166" formatCode="0.0%"/>
    <numFmt numFmtId="167" formatCode="&quot;$&quot;#,##0"/>
    <numFmt numFmtId="168" formatCode="mmm\ yyyy"/>
    <numFmt numFmtId="169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0"/>
      <name val="Calibri"/>
    </font>
    <font>
      <b/>
      <sz val="11"/>
      <color rgb="FFFFFFFF"/>
      <name val="Calibri"/>
      <family val="2"/>
      <scheme val="minor"/>
    </font>
    <font>
      <b/>
      <sz val="18"/>
      <color rgb="FFFFFFFF"/>
      <name val="Calibri"/>
      <family val="2"/>
      <scheme val="minor"/>
    </font>
    <font>
      <sz val="11"/>
      <color rgb="FF52606D"/>
      <name val="Calibri"/>
      <family val="2"/>
      <scheme val="minor"/>
    </font>
    <font>
      <b/>
      <sz val="20"/>
      <color rgb="FFFFFFFF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Aptos"/>
    </font>
    <font>
      <b/>
      <sz val="11"/>
      <color rgb="FFFFFFFF"/>
      <name val="Aptos"/>
    </font>
    <font>
      <b/>
      <sz val="22"/>
      <color rgb="FFFFFFFF"/>
      <name val="Aptos"/>
    </font>
    <font>
      <sz val="11"/>
      <color rgb="FF52606D"/>
      <name val="Aptos"/>
    </font>
    <font>
      <b/>
      <sz val="11"/>
      <color theme="1"/>
      <name val="Aptos"/>
    </font>
    <font>
      <b/>
      <sz val="17"/>
      <color theme="1"/>
      <name val="Aptos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3" fillId="2" borderId="0" xfId="0" applyFont="1" applyFill="1"/>
    <xf numFmtId="167" fontId="0" fillId="0" borderId="0" xfId="0" applyNumberFormat="1"/>
    <xf numFmtId="0" fontId="5" fillId="3" borderId="0" xfId="0" applyFont="1" applyFill="1"/>
    <xf numFmtId="0" fontId="6" fillId="0" borderId="0" xfId="0" applyFont="1"/>
    <xf numFmtId="0" fontId="1" fillId="4" borderId="0" xfId="0" applyFont="1" applyFill="1"/>
    <xf numFmtId="0" fontId="1" fillId="4" borderId="1" xfId="0" applyFont="1" applyFill="1" applyBorder="1"/>
    <xf numFmtId="168" fontId="0" fillId="0" borderId="0" xfId="0" applyNumberFormat="1"/>
    <xf numFmtId="0" fontId="7" fillId="3" borderId="0" xfId="0" applyFont="1" applyFill="1"/>
    <xf numFmtId="0" fontId="1" fillId="4" borderId="0" xfId="0" applyFont="1" applyFill="1"/>
    <xf numFmtId="0" fontId="1" fillId="4" borderId="0" xfId="0" applyFont="1" applyFill="1" applyBorder="1"/>
    <xf numFmtId="167" fontId="8" fillId="0" borderId="0" xfId="0" applyNumberFormat="1" applyFont="1"/>
    <xf numFmtId="166" fontId="8" fillId="0" borderId="0" xfId="0" applyNumberFormat="1" applyFont="1"/>
    <xf numFmtId="0" fontId="4" fillId="3" borderId="0" xfId="0" applyFont="1" applyFill="1"/>
    <xf numFmtId="0" fontId="4" fillId="3" borderId="2" xfId="0" applyFont="1" applyFill="1" applyBorder="1"/>
    <xf numFmtId="168" fontId="0" fillId="0" borderId="3" xfId="0" applyNumberFormat="1" applyBorder="1"/>
    <xf numFmtId="167" fontId="0" fillId="0" borderId="3" xfId="0" applyNumberFormat="1" applyBorder="1"/>
    <xf numFmtId="166" fontId="0" fillId="0" borderId="3" xfId="0" applyNumberFormat="1" applyBorder="1"/>
    <xf numFmtId="0" fontId="0" fillId="0" borderId="3" xfId="0" applyBorder="1"/>
    <xf numFmtId="168" fontId="0" fillId="0" borderId="4" xfId="0" applyNumberFormat="1" applyBorder="1"/>
    <xf numFmtId="167" fontId="0" fillId="0" borderId="4" xfId="0" applyNumberFormat="1" applyBorder="1"/>
    <xf numFmtId="166" fontId="0" fillId="0" borderId="4" xfId="0" applyNumberFormat="1" applyBorder="1"/>
    <xf numFmtId="0" fontId="0" fillId="0" borderId="4" xfId="0" applyBorder="1"/>
    <xf numFmtId="0" fontId="8" fillId="0" borderId="0" xfId="0" applyFont="1"/>
    <xf numFmtId="168" fontId="0" fillId="5" borderId="0" xfId="0" applyNumberFormat="1" applyFill="1"/>
    <xf numFmtId="167" fontId="0" fillId="5" borderId="0" xfId="0" applyNumberFormat="1" applyFill="1"/>
    <xf numFmtId="0" fontId="0" fillId="5" borderId="0" xfId="0" applyFill="1"/>
    <xf numFmtId="0" fontId="6" fillId="0" borderId="0" xfId="0" applyFont="1" applyAlignment="1"/>
    <xf numFmtId="169" fontId="0" fillId="0" borderId="0" xfId="0" applyNumberFormat="1"/>
    <xf numFmtId="169" fontId="9" fillId="0" borderId="0" xfId="0" applyNumberFormat="1" applyFont="1"/>
    <xf numFmtId="0" fontId="9" fillId="0" borderId="0" xfId="0" applyFont="1"/>
    <xf numFmtId="0" fontId="8" fillId="0" borderId="0" xfId="0" applyFont="1"/>
    <xf numFmtId="167" fontId="9" fillId="0" borderId="0" xfId="0" applyNumberFormat="1" applyFont="1"/>
    <xf numFmtId="0" fontId="2" fillId="2" borderId="0" xfId="0" applyFont="1" applyFill="1" applyAlignment="1">
      <alignment horizontal="left"/>
    </xf>
    <xf numFmtId="0" fontId="10" fillId="0" borderId="0" xfId="0" applyFont="1"/>
    <xf numFmtId="167" fontId="10" fillId="0" borderId="0" xfId="0" applyNumberFormat="1" applyFont="1"/>
    <xf numFmtId="0" fontId="12" fillId="3" borderId="0" xfId="0" applyFont="1" applyFill="1"/>
    <xf numFmtId="0" fontId="13" fillId="0" borderId="0" xfId="0" applyFont="1"/>
    <xf numFmtId="0" fontId="14" fillId="4" borderId="0" xfId="0" applyFont="1" applyFill="1"/>
    <xf numFmtId="167" fontId="15" fillId="0" borderId="0" xfId="0" applyNumberFormat="1" applyFont="1"/>
    <xf numFmtId="166" fontId="15" fillId="0" borderId="0" xfId="0" applyNumberFormat="1" applyFont="1"/>
    <xf numFmtId="0" fontId="15" fillId="0" borderId="0" xfId="0" applyFont="1"/>
    <xf numFmtId="0" fontId="11" fillId="3" borderId="2" xfId="0" applyFont="1" applyFill="1" applyBorder="1"/>
    <xf numFmtId="0" fontId="10" fillId="0" borderId="3" xfId="0" applyFont="1" applyBorder="1"/>
    <xf numFmtId="167" fontId="10" fillId="0" borderId="3" xfId="0" applyNumberFormat="1" applyFont="1" applyBorder="1"/>
    <xf numFmtId="166" fontId="10" fillId="0" borderId="3" xfId="0" applyNumberFormat="1" applyFont="1" applyBorder="1"/>
    <xf numFmtId="0" fontId="10" fillId="0" borderId="4" xfId="0" applyFont="1" applyBorder="1"/>
    <xf numFmtId="167" fontId="10" fillId="0" borderId="4" xfId="0" applyNumberFormat="1" applyFont="1" applyBorder="1"/>
    <xf numFmtId="166" fontId="10" fillId="0" borderId="4" xfId="0" applyNumberFormat="1" applyFont="1" applyBorder="1"/>
    <xf numFmtId="168" fontId="10" fillId="0" borderId="3" xfId="0" applyNumberFormat="1" applyFont="1" applyBorder="1"/>
    <xf numFmtId="168" fontId="10" fillId="0" borderId="4" xfId="0" applyNumberFormat="1" applyFont="1" applyBorder="1"/>
  </cellXfs>
  <cellStyles count="1">
    <cellStyle name="Normal" xfId="0" builtinId="0"/>
  </cellStyles>
  <dxfs count="12">
    <dxf>
      <font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9C6500"/>
      </font>
      <fill>
        <patternFill patternType="solid">
          <fgColor indexed="64"/>
          <bgColor rgb="FFFFF2CC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numFmt numFmtId="167" formatCode="&quot;$&quot;#,##0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theme="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Revenue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'Monthly Revenue'!$A$9:$A$14</c:f>
              <c:numCache>
                <c:formatCode>mmm\ yyyy</c:formatCode>
                <c:ptCount val="6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</c:numCache>
            </c:numRef>
          </c:cat>
          <c:val>
            <c:numRef>
              <c:f>'Monthly Revenue'!$B$9:$B$14</c:f>
              <c:numCache>
                <c:formatCode>"$"#,##0</c:formatCode>
                <c:ptCount val="6"/>
                <c:pt idx="0">
                  <c:v>182489</c:v>
                </c:pt>
                <c:pt idx="1">
                  <c:v>38138</c:v>
                </c:pt>
                <c:pt idx="2">
                  <c:v>62419</c:v>
                </c:pt>
                <c:pt idx="3">
                  <c:v>61049</c:v>
                </c:pt>
                <c:pt idx="4">
                  <c:v>52085</c:v>
                </c:pt>
                <c:pt idx="5">
                  <c:v>47085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F3-471B-A01F-F056207FA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4141696"/>
        <c:axId val="1552163408"/>
      </c:lineChart>
      <c:dateAx>
        <c:axId val="1774141696"/>
        <c:scaling>
          <c:orientation val="minMax"/>
        </c:scaling>
        <c:delete val="0"/>
        <c:axPos val="b"/>
        <c:numFmt formatCode="mmm\ 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163408"/>
        <c:crosses val="autoZero"/>
        <c:auto val="0"/>
        <c:lblOffset val="100"/>
        <c:baseTimeUnit val="months"/>
        <c:majorUnit val="1"/>
        <c:majorTimeUnit val="months"/>
      </c:dateAx>
      <c:valAx>
        <c:axId val="155216340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4141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Net Cash Flow and Cumulative Position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'Monthly Cash Position'!$D$7</c:f>
              <c:strCache>
                <c:ptCount val="1"/>
                <c:pt idx="0">
                  <c:v>Net Cash Flow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'Monthly Cash Position'!$A$8:$A$13</c:f>
              <c:numCache>
                <c:formatCode>mmm\ yyyy</c:formatCode>
                <c:ptCount val="6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</c:numCache>
            </c:numRef>
          </c:cat>
          <c:val>
            <c:numRef>
              <c:f>'Monthly Cash Position'!$D$8:$D$13</c:f>
              <c:numCache>
                <c:formatCode>"$"#,##0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0F-4FF8-97C7-57B480840DC0}"/>
            </c:ext>
          </c:extLst>
        </c:ser>
        <c:ser>
          <c:idx val="1"/>
          <c:order val="1"/>
          <c:tx>
            <c:strRef>
              <c:f>'Monthly Cash Position'!$E$7</c:f>
              <c:strCache>
                <c:ptCount val="1"/>
                <c:pt idx="0">
                  <c:v>Cumulative Cash Position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'Monthly Cash Position'!$A$8:$A$13</c:f>
              <c:numCache>
                <c:formatCode>mmm\ yyyy</c:formatCode>
                <c:ptCount val="6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</c:numCache>
            </c:numRef>
          </c:cat>
          <c:val>
            <c:numRef>
              <c:f>'Monthly Cash Position'!$E$8:$E$13</c:f>
              <c:numCache>
                <c:formatCode>"$"#,##0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0F-4FF8-97C7-57B480840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811488"/>
        <c:axId val="1552126928"/>
      </c:lineChart>
      <c:dateAx>
        <c:axId val="1874811488"/>
        <c:scaling>
          <c:orientation val="minMax"/>
        </c:scaling>
        <c:delete val="0"/>
        <c:axPos val="b"/>
        <c:numFmt formatCode="mmm\ 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126928"/>
        <c:crosses val="autoZero"/>
        <c:auto val="0"/>
        <c:lblOffset val="100"/>
        <c:baseTimeUnit val="months"/>
        <c:majorUnit val="1"/>
        <c:majorTimeUnit val="months"/>
      </c:dateAx>
      <c:valAx>
        <c:axId val="155212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4811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Forecast Revenue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'Revenue Forecast'!$B$8</c:f>
              <c:strCache>
                <c:ptCount val="1"/>
                <c:pt idx="0">
                  <c:v>Actual Revenue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'Revenue Forecast'!$A$9:$A$20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'Revenue Forecast'!$B$9:$B$20</c:f>
              <c:numCache>
                <c:formatCode>"$"#,##0</c:formatCode>
                <c:ptCount val="12"/>
                <c:pt idx="0">
                  <c:v>182489</c:v>
                </c:pt>
                <c:pt idx="1">
                  <c:v>38138</c:v>
                </c:pt>
                <c:pt idx="2">
                  <c:v>62419</c:v>
                </c:pt>
                <c:pt idx="3">
                  <c:v>61049</c:v>
                </c:pt>
                <c:pt idx="4">
                  <c:v>52085</c:v>
                </c:pt>
                <c:pt idx="5">
                  <c:v>47085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A6-49A8-A101-8DA0EA4928FF}"/>
            </c:ext>
          </c:extLst>
        </c:ser>
        <c:ser>
          <c:idx val="1"/>
          <c:order val="1"/>
          <c:tx>
            <c:strRef>
              <c:f>'Revenue Forecast'!$C$8</c:f>
              <c:strCache>
                <c:ptCount val="1"/>
                <c:pt idx="0">
                  <c:v>Forecast Revenue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'Revenue Forecast'!$A$9:$A$20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'Revenue Forecast'!$C$9:$C$20</c:f>
              <c:numCache>
                <c:formatCode>"$"#,##0</c:formatCode>
                <c:ptCount val="12"/>
                <c:pt idx="6">
                  <c:v>10222.600000000006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A6-49A8-A101-8DA0EA492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1409184"/>
        <c:axId val="1552227248"/>
      </c:lineChart>
      <c:dateAx>
        <c:axId val="1871409184"/>
        <c:scaling>
          <c:orientation val="minMax"/>
        </c:scaling>
        <c:delete val="0"/>
        <c:axPos val="b"/>
        <c:numFmt formatCode="mmm\ 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227248"/>
        <c:crosses val="autoZero"/>
        <c:auto val="0"/>
        <c:lblOffset val="100"/>
        <c:baseTimeUnit val="months"/>
        <c:majorUnit val="1"/>
        <c:majorTimeUnit val="months"/>
      </c:dateAx>
      <c:valAx>
        <c:axId val="155222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409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Budget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'Financial Dashboard'!$B$9</c:f>
              <c:strCache>
                <c:ptCount val="1"/>
                <c:pt idx="0">
                  <c:v>Actual Expenses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'Financial Dashboard'!$A$10:$A$15</c:f>
              <c:strCache>
                <c:ptCount val="6"/>
                <c:pt idx="0">
                  <c:v>Marketing</c:v>
                </c:pt>
                <c:pt idx="1">
                  <c:v>Office Supplies</c:v>
                </c:pt>
                <c:pt idx="2">
                  <c:v>Payroll</c:v>
                </c:pt>
                <c:pt idx="3">
                  <c:v>Software</c:v>
                </c:pt>
                <c:pt idx="4">
                  <c:v>Travel</c:v>
                </c:pt>
                <c:pt idx="5">
                  <c:v>Utilities</c:v>
                </c:pt>
              </c:strCache>
            </c:strRef>
          </c:cat>
          <c:val>
            <c:numRef>
              <c:f>'Financial Dashboard'!$B$10:$B$15</c:f>
              <c:numCache>
                <c:formatCode>"$"#,##0</c:formatCode>
                <c:ptCount val="6"/>
                <c:pt idx="0">
                  <c:v>115829</c:v>
                </c:pt>
                <c:pt idx="1">
                  <c:v>13165</c:v>
                </c:pt>
                <c:pt idx="2">
                  <c:v>238592</c:v>
                </c:pt>
                <c:pt idx="3">
                  <c:v>33174</c:v>
                </c:pt>
                <c:pt idx="4">
                  <c:v>23278</c:v>
                </c:pt>
                <c:pt idx="5">
                  <c:v>19227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C6-4E2F-ADA7-08F9D93F4536}"/>
            </c:ext>
          </c:extLst>
        </c:ser>
        <c:ser>
          <c:idx val="1"/>
          <c:order val="1"/>
          <c:tx>
            <c:strRef>
              <c:f>'Financial Dashboard'!$C$9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'Financial Dashboard'!$A$10:$A$15</c:f>
              <c:strCache>
                <c:ptCount val="6"/>
                <c:pt idx="0">
                  <c:v>Marketing</c:v>
                </c:pt>
                <c:pt idx="1">
                  <c:v>Office Supplies</c:v>
                </c:pt>
                <c:pt idx="2">
                  <c:v>Payroll</c:v>
                </c:pt>
                <c:pt idx="3">
                  <c:v>Software</c:v>
                </c:pt>
                <c:pt idx="4">
                  <c:v>Travel</c:v>
                </c:pt>
                <c:pt idx="5">
                  <c:v>Utilities</c:v>
                </c:pt>
              </c:strCache>
            </c:strRef>
          </c:cat>
          <c:val>
            <c:numRef>
              <c:f>'Financial Dashboard'!$C$10:$C$15</c:f>
              <c:numCache>
                <c:formatCode>"$"#,##0</c:formatCode>
                <c:ptCount val="6"/>
                <c:pt idx="0">
                  <c:v>116465</c:v>
                </c:pt>
                <c:pt idx="1">
                  <c:v>12592</c:v>
                </c:pt>
                <c:pt idx="2">
                  <c:v>235891</c:v>
                </c:pt>
                <c:pt idx="3">
                  <c:v>31902</c:v>
                </c:pt>
                <c:pt idx="4">
                  <c:v>23900</c:v>
                </c:pt>
                <c:pt idx="5">
                  <c:v>18863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C6-4E2F-ADA7-08F9D93F4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71366032"/>
        <c:axId val="1552221488"/>
      </c:barChart>
      <c:catAx>
        <c:axId val="187136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221488"/>
        <c:crosses val="autoZero"/>
        <c:auto val="1"/>
        <c:lblAlgn val="ctr"/>
        <c:lblOffset val="100"/>
        <c:noMultiLvlLbl val="0"/>
      </c:catAx>
      <c:valAx>
        <c:axId val="15522214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366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Expense vs Budget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'Financial Dashboard'!$B$19</c:f>
              <c:strCache>
                <c:ptCount val="1"/>
                <c:pt idx="0">
                  <c:v>Actual Expenses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'Financial Dashboard'!$A$20:$A$25</c:f>
              <c:numCache>
                <c:formatCode>mmm\ yyyy</c:formatCode>
                <c:ptCount val="6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</c:numCache>
            </c:numRef>
          </c:cat>
          <c:val>
            <c:numRef>
              <c:f>'Financial Dashboard'!$B$20:$B$25</c:f>
              <c:numCache>
                <c:formatCode>"$"#,##0</c:formatCode>
                <c:ptCount val="6"/>
                <c:pt idx="0">
                  <c:v>182489</c:v>
                </c:pt>
                <c:pt idx="1">
                  <c:v>38138</c:v>
                </c:pt>
                <c:pt idx="2">
                  <c:v>62419</c:v>
                </c:pt>
                <c:pt idx="3">
                  <c:v>61049</c:v>
                </c:pt>
                <c:pt idx="4">
                  <c:v>52085</c:v>
                </c:pt>
                <c:pt idx="5">
                  <c:v>47085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C9-47C4-BE25-BEB68DF013F1}"/>
            </c:ext>
          </c:extLst>
        </c:ser>
        <c:ser>
          <c:idx val="1"/>
          <c:order val="1"/>
          <c:tx>
            <c:strRef>
              <c:f>'Financial Dashboard'!$C$19</c:f>
              <c:strCache>
                <c:ptCount val="1"/>
                <c:pt idx="0">
                  <c:v>Budget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'Financial Dashboard'!$A$20:$A$25</c:f>
              <c:numCache>
                <c:formatCode>mmm\ yyyy</c:formatCode>
                <c:ptCount val="6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</c:numCache>
            </c:numRef>
          </c:cat>
          <c:val>
            <c:numRef>
              <c:f>'Financial Dashboard'!$C$20:$C$25</c:f>
              <c:numCache>
                <c:formatCode>"$"#,##0</c:formatCode>
                <c:ptCount val="6"/>
                <c:pt idx="0">
                  <c:v>173647</c:v>
                </c:pt>
                <c:pt idx="1">
                  <c:v>40964</c:v>
                </c:pt>
                <c:pt idx="2">
                  <c:v>66198</c:v>
                </c:pt>
                <c:pt idx="3">
                  <c:v>60831</c:v>
                </c:pt>
                <c:pt idx="4">
                  <c:v>49896</c:v>
                </c:pt>
                <c:pt idx="5">
                  <c:v>48077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C9-47C4-BE25-BEB68DF01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18112"/>
        <c:axId val="1552244048"/>
      </c:lineChart>
      <c:dateAx>
        <c:axId val="62718112"/>
        <c:scaling>
          <c:orientation val="minMax"/>
        </c:scaling>
        <c:delete val="0"/>
        <c:axPos val="b"/>
        <c:numFmt formatCode="mmm\ 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244048"/>
        <c:crosses val="autoZero"/>
        <c:auto val="0"/>
        <c:lblOffset val="100"/>
        <c:baseTimeUnit val="months"/>
        <c:majorUnit val="1"/>
        <c:majorTimeUnit val="months"/>
      </c:dateAx>
      <c:valAx>
        <c:axId val="155224404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718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Payroll Cost by Department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Payroll Cost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'Payroll Analysis'!$B$9:$B$14</c:f>
              <c:strCache>
                <c:ptCount val="6"/>
                <c:pt idx="0">
                  <c:v>HR</c:v>
                </c:pt>
                <c:pt idx="1">
                  <c:v>Marketing</c:v>
                </c:pt>
                <c:pt idx="2">
                  <c:v>Sales</c:v>
                </c:pt>
                <c:pt idx="3">
                  <c:v>Finance</c:v>
                </c:pt>
                <c:pt idx="4">
                  <c:v>Operations</c:v>
                </c:pt>
                <c:pt idx="5">
                  <c:v>IT</c:v>
                </c:pt>
              </c:strCache>
            </c:strRef>
          </c:cat>
          <c:val>
            <c:numRef>
              <c:f>'Payroll Analysis'!$C$9:$C$14</c:f>
              <c:numCache>
                <c:formatCode>"$"#,##0</c:formatCode>
                <c:ptCount val="6"/>
                <c:pt idx="0">
                  <c:v>79317</c:v>
                </c:pt>
                <c:pt idx="1">
                  <c:v>59625</c:v>
                </c:pt>
                <c:pt idx="2">
                  <c:v>46603</c:v>
                </c:pt>
                <c:pt idx="3">
                  <c:v>36044</c:v>
                </c:pt>
                <c:pt idx="4">
                  <c:v>9033</c:v>
                </c:pt>
                <c:pt idx="5">
                  <c:v>7970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D4-4F36-B44E-EDECAEA2F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1194976"/>
        <c:axId val="1552279088"/>
      </c:barChart>
      <c:catAx>
        <c:axId val="171194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2279088"/>
        <c:crosses val="autoZero"/>
        <c:auto val="1"/>
        <c:lblAlgn val="ctr"/>
        <c:lblOffset val="100"/>
        <c:noMultiLvlLbl val="0"/>
      </c:catAx>
      <c:valAx>
        <c:axId val="1552279088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194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0</xdr:rowOff>
    </xdr:from>
    <xdr:to>
      <xdr:col>16</xdr:col>
      <xdr:colOff>533400</xdr:colOff>
      <xdr:row>27</xdr:row>
      <xdr:rowOff>152400</xdr:rowOff>
    </xdr:to>
    <xdr:graphicFrame macro="">
      <xdr:nvGraphicFramePr>
        <xdr:cNvPr id="2" name="Monthly Revenue Trend Chart">
          <a:extLst>
            <a:ext uri="{FF2B5EF4-FFF2-40B4-BE49-F238E27FC236}">
              <a16:creationId xmlns:a16="http://schemas.microsoft.com/office/drawing/2014/main" id="{DE56E748-904D-43B3-2EBB-585D8BF5AA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13</xdr:row>
      <xdr:rowOff>152400</xdr:rowOff>
    </xdr:from>
    <xdr:to>
      <xdr:col>6</xdr:col>
      <xdr:colOff>0</xdr:colOff>
      <xdr:row>34</xdr:row>
      <xdr:rowOff>121920</xdr:rowOff>
    </xdr:to>
    <xdr:graphicFrame macro="">
      <xdr:nvGraphicFramePr>
        <xdr:cNvPr id="2" name="Cash Position Trend Chart">
          <a:extLst>
            <a:ext uri="{FF2B5EF4-FFF2-40B4-BE49-F238E27FC236}">
              <a16:creationId xmlns:a16="http://schemas.microsoft.com/office/drawing/2014/main" id="{241FC7FD-2EBB-C74D-34A7-77710EB5AD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426720</xdr:colOff>
      <xdr:row>6</xdr:row>
      <xdr:rowOff>144780</xdr:rowOff>
    </xdr:from>
    <xdr:to>
      <xdr:col>14</xdr:col>
      <xdr:colOff>76200</xdr:colOff>
      <xdr:row>26</xdr:row>
      <xdr:rowOff>175260</xdr:rowOff>
    </xdr:to>
    <xdr:graphicFrame macro="">
      <xdr:nvGraphicFramePr>
        <xdr:cNvPr id="2" name="Revenue Actual vs Forecast">
          <a:extLst>
            <a:ext uri="{FF2B5EF4-FFF2-40B4-BE49-F238E27FC236}">
              <a16:creationId xmlns:a16="http://schemas.microsoft.com/office/drawing/2014/main" id="{367D6F6B-80C3-56A3-FD36-7E8D57BC54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14</xdr:col>
      <xdr:colOff>104775</xdr:colOff>
      <xdr:row>23</xdr:row>
      <xdr:rowOff>177800</xdr:rowOff>
    </xdr:to>
    <xdr:graphicFrame macro="">
      <xdr:nvGraphicFramePr>
        <xdr:cNvPr id="2" name="Actual vs Budget by Category">
          <a:extLst>
            <a:ext uri="{FF2B5EF4-FFF2-40B4-BE49-F238E27FC236}">
              <a16:creationId xmlns:a16="http://schemas.microsoft.com/office/drawing/2014/main" id="{2056B4D2-5366-BABC-6DF8-532FCF616A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209550</xdr:colOff>
      <xdr:row>25</xdr:row>
      <xdr:rowOff>142875</xdr:rowOff>
    </xdr:from>
    <xdr:to>
      <xdr:col>14</xdr:col>
      <xdr:colOff>57150</xdr:colOff>
      <xdr:row>43</xdr:row>
      <xdr:rowOff>153035</xdr:rowOff>
    </xdr:to>
    <xdr:graphicFrame macro="">
      <xdr:nvGraphicFramePr>
        <xdr:cNvPr id="3" name="Monthly Actual vs Budget">
          <a:extLst>
            <a:ext uri="{FF2B5EF4-FFF2-40B4-BE49-F238E27FC236}">
              <a16:creationId xmlns:a16="http://schemas.microsoft.com/office/drawing/2014/main" id="{FDA5646B-BC2E-F14C-9F6D-B04D0A9D9B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259080</xdr:colOff>
      <xdr:row>7</xdr:row>
      <xdr:rowOff>38100</xdr:rowOff>
    </xdr:from>
    <xdr:to>
      <xdr:col>13</xdr:col>
      <xdr:colOff>579120</xdr:colOff>
      <xdr:row>27</xdr:row>
      <xdr:rowOff>33020</xdr:rowOff>
    </xdr:to>
    <xdr:graphicFrame macro="">
      <xdr:nvGraphicFramePr>
        <xdr:cNvPr id="2" name="Payroll Cost by Department">
          <a:extLst>
            <a:ext uri="{FF2B5EF4-FFF2-40B4-BE49-F238E27FC236}">
              <a16:creationId xmlns:a16="http://schemas.microsoft.com/office/drawing/2014/main" id="{323EFA67-7ED6-A020-2686-9311EF38E9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ransactionsTable" displayName="TransactionsTable" ref="A1:J100" headerRowDxfId="11">
  <autoFilter ref="A1:J100" xr:uid="{00000000-0009-0000-0100-000001000000}"/>
  <tableColumns count="10">
    <tableColumn id="1" xr3:uid="{00000000-0010-0000-0000-000001000000}" name="Transaction No"/>
    <tableColumn id="2" xr3:uid="{00000000-0010-0000-0000-000002000000}" name="Date"/>
    <tableColumn id="3" xr3:uid="{00000000-0010-0000-0000-000003000000}" name="Department"/>
    <tableColumn id="4" xr3:uid="{00000000-0010-0000-0000-000004000000}" name="Category"/>
    <tableColumn id="5" xr3:uid="{00000000-0010-0000-0000-000005000000}" name="Customer"/>
    <tableColumn id="6" xr3:uid="{00000000-0010-0000-0000-000006000000}" name="Notes"/>
    <tableColumn id="7" xr3:uid="{00000000-0010-0000-0000-000007000000}" name="Amount"/>
    <tableColumn id="9" xr3:uid="{00000000-0010-0000-0000-000009000000}" name="Status"/>
    <tableColumn id="10" xr3:uid="{00000000-0010-0000-0000-00000A000000}" name="Quarter"/>
    <tableColumn id="8" xr3:uid="{FD95EF0B-91FD-47FA-AE4E-C738E62CCE56}" name="Budget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" bestFit="1" customWidth="1"/>
    <col min="2" max="3" width="12" customWidth="1"/>
    <col min="4" max="4" width="17" customWidth="1"/>
    <col min="5" max="5" width="12" customWidth="1"/>
    <col min="6" max="6" width="26" customWidth="1"/>
    <col min="7" max="9" width="12" customWidth="1"/>
    <col min="10" max="10" width="9.21875" bestFit="1" customWidth="1"/>
  </cols>
  <sheetData>
    <row r="1" spans="1:10" x14ac:dyDescent="0.3">
      <c r="A1" s="38" t="s">
        <v>141</v>
      </c>
      <c r="B1" s="5" t="s">
        <v>142</v>
      </c>
      <c r="C1" s="4" t="s">
        <v>137</v>
      </c>
      <c r="D1" s="4" t="s">
        <v>127</v>
      </c>
      <c r="E1" s="4" t="s">
        <v>135</v>
      </c>
      <c r="F1" s="4" t="s">
        <v>143</v>
      </c>
      <c r="G1" s="4" t="s">
        <v>144</v>
      </c>
      <c r="H1" s="4" t="s">
        <v>136</v>
      </c>
      <c r="I1" s="4" t="s">
        <v>145</v>
      </c>
      <c r="J1" s="6" t="s">
        <v>128</v>
      </c>
    </row>
    <row r="2" spans="1:10" x14ac:dyDescent="0.3">
      <c r="A2" t="s">
        <v>8</v>
      </c>
      <c r="B2" s="2">
        <v>46058</v>
      </c>
      <c r="C2" t="s">
        <v>9</v>
      </c>
      <c r="D2" t="s">
        <v>3</v>
      </c>
      <c r="E2" t="s">
        <v>10</v>
      </c>
      <c r="F2" t="s">
        <v>5</v>
      </c>
      <c r="G2" s="1">
        <v>2383</v>
      </c>
      <c r="H2" t="s">
        <v>6</v>
      </c>
      <c r="I2" t="s">
        <v>11</v>
      </c>
      <c r="J2" s="7">
        <v>2309</v>
      </c>
    </row>
    <row r="3" spans="1:10" x14ac:dyDescent="0.3">
      <c r="A3" t="s">
        <v>12</v>
      </c>
      <c r="B3" s="2">
        <v>46131</v>
      </c>
      <c r="C3" t="s">
        <v>2</v>
      </c>
      <c r="D3" t="s">
        <v>3</v>
      </c>
      <c r="E3" t="s">
        <v>4</v>
      </c>
      <c r="F3" t="s">
        <v>5</v>
      </c>
      <c r="G3" s="1">
        <v>533</v>
      </c>
      <c r="H3" t="s">
        <v>6</v>
      </c>
      <c r="I3" t="s">
        <v>7</v>
      </c>
      <c r="J3" s="7">
        <v>591</v>
      </c>
    </row>
    <row r="4" spans="1:10" x14ac:dyDescent="0.3">
      <c r="A4" t="s">
        <v>13</v>
      </c>
      <c r="B4" s="2">
        <v>46152</v>
      </c>
      <c r="C4" t="s">
        <v>14</v>
      </c>
      <c r="D4" t="s">
        <v>3</v>
      </c>
      <c r="E4" t="s">
        <v>15</v>
      </c>
      <c r="F4" t="s">
        <v>5</v>
      </c>
      <c r="G4" s="1">
        <v>2448</v>
      </c>
      <c r="H4" t="s">
        <v>6</v>
      </c>
      <c r="I4" t="s">
        <v>7</v>
      </c>
      <c r="J4" s="7">
        <v>2508</v>
      </c>
    </row>
    <row r="5" spans="1:10" x14ac:dyDescent="0.3">
      <c r="A5" t="s">
        <v>16</v>
      </c>
      <c r="B5" s="2">
        <v>46189</v>
      </c>
      <c r="C5" t="s">
        <v>9</v>
      </c>
      <c r="D5" t="s">
        <v>17</v>
      </c>
      <c r="E5" t="s">
        <v>18</v>
      </c>
      <c r="F5" t="s">
        <v>19</v>
      </c>
      <c r="G5" s="1">
        <v>7673</v>
      </c>
      <c r="H5" t="s">
        <v>6</v>
      </c>
      <c r="I5" t="s">
        <v>7</v>
      </c>
      <c r="J5" s="7">
        <v>7453</v>
      </c>
    </row>
    <row r="6" spans="1:10" x14ac:dyDescent="0.3">
      <c r="A6" t="s">
        <v>20</v>
      </c>
      <c r="B6" s="2">
        <v>46173</v>
      </c>
      <c r="C6" t="s">
        <v>21</v>
      </c>
      <c r="D6" t="s">
        <v>3</v>
      </c>
      <c r="E6" t="s">
        <v>22</v>
      </c>
      <c r="F6" t="s">
        <v>5</v>
      </c>
      <c r="G6" s="1">
        <v>803</v>
      </c>
      <c r="H6" t="s">
        <v>23</v>
      </c>
      <c r="I6" t="s">
        <v>7</v>
      </c>
      <c r="J6" s="7">
        <v>829</v>
      </c>
    </row>
    <row r="7" spans="1:10" x14ac:dyDescent="0.3">
      <c r="A7" t="s">
        <v>24</v>
      </c>
      <c r="B7" s="2">
        <v>46094</v>
      </c>
      <c r="C7" t="s">
        <v>17</v>
      </c>
      <c r="D7" t="s">
        <v>25</v>
      </c>
      <c r="E7" t="s">
        <v>26</v>
      </c>
      <c r="F7" t="s">
        <v>27</v>
      </c>
      <c r="G7" s="1">
        <v>1678</v>
      </c>
      <c r="H7" t="s">
        <v>6</v>
      </c>
      <c r="I7" t="s">
        <v>11</v>
      </c>
      <c r="J7" s="7">
        <v>1459</v>
      </c>
    </row>
    <row r="8" spans="1:10" x14ac:dyDescent="0.3">
      <c r="A8" t="s">
        <v>28</v>
      </c>
      <c r="B8" s="2">
        <v>46120</v>
      </c>
      <c r="C8" t="s">
        <v>2</v>
      </c>
      <c r="D8" t="s">
        <v>29</v>
      </c>
      <c r="E8" t="s">
        <v>26</v>
      </c>
      <c r="F8" t="s">
        <v>30</v>
      </c>
      <c r="G8" s="1">
        <v>1608</v>
      </c>
      <c r="H8" t="s">
        <v>6</v>
      </c>
      <c r="I8" t="s">
        <v>7</v>
      </c>
      <c r="J8" s="7">
        <v>1857</v>
      </c>
    </row>
    <row r="9" spans="1:10" x14ac:dyDescent="0.3">
      <c r="A9" t="s">
        <v>31</v>
      </c>
      <c r="B9" s="2">
        <v>46140</v>
      </c>
      <c r="C9" t="s">
        <v>14</v>
      </c>
      <c r="D9" t="s">
        <v>3</v>
      </c>
      <c r="E9" t="s">
        <v>10</v>
      </c>
      <c r="F9" t="s">
        <v>5</v>
      </c>
      <c r="G9" s="1">
        <v>1700</v>
      </c>
      <c r="H9" t="s">
        <v>6</v>
      </c>
      <c r="I9" t="s">
        <v>7</v>
      </c>
      <c r="J9" s="7">
        <v>1598</v>
      </c>
    </row>
    <row r="10" spans="1:10" x14ac:dyDescent="0.3">
      <c r="A10" t="s">
        <v>32</v>
      </c>
      <c r="B10" s="2">
        <v>46098</v>
      </c>
      <c r="C10" t="s">
        <v>9</v>
      </c>
      <c r="D10" t="s">
        <v>17</v>
      </c>
      <c r="E10" t="s">
        <v>15</v>
      </c>
      <c r="F10" t="s">
        <v>19</v>
      </c>
      <c r="G10" s="1">
        <v>6725</v>
      </c>
      <c r="H10" t="s">
        <v>6</v>
      </c>
      <c r="I10" t="s">
        <v>11</v>
      </c>
      <c r="J10" s="7">
        <v>6286</v>
      </c>
    </row>
    <row r="11" spans="1:10" x14ac:dyDescent="0.3">
      <c r="A11" t="s">
        <v>33</v>
      </c>
      <c r="B11" s="2">
        <v>46040</v>
      </c>
      <c r="C11" t="s">
        <v>2</v>
      </c>
      <c r="D11" t="s">
        <v>34</v>
      </c>
      <c r="E11" t="s">
        <v>26</v>
      </c>
      <c r="F11" t="s">
        <v>35</v>
      </c>
      <c r="G11" s="1">
        <v>516</v>
      </c>
      <c r="H11" t="s">
        <v>6</v>
      </c>
      <c r="I11" t="s">
        <v>11</v>
      </c>
      <c r="J11" s="7">
        <v>593</v>
      </c>
    </row>
    <row r="12" spans="1:10" x14ac:dyDescent="0.3">
      <c r="A12" t="s">
        <v>36</v>
      </c>
      <c r="B12" s="2">
        <v>46082</v>
      </c>
      <c r="C12" t="s">
        <v>2</v>
      </c>
      <c r="D12" t="s">
        <v>15</v>
      </c>
      <c r="E12" t="s">
        <v>15</v>
      </c>
      <c r="F12" t="s">
        <v>37</v>
      </c>
      <c r="G12" s="1">
        <v>9054</v>
      </c>
      <c r="H12" t="s">
        <v>23</v>
      </c>
      <c r="I12" t="s">
        <v>11</v>
      </c>
      <c r="J12" s="7">
        <v>8721</v>
      </c>
    </row>
    <row r="13" spans="1:10" x14ac:dyDescent="0.3">
      <c r="A13" t="s">
        <v>38</v>
      </c>
      <c r="B13" s="2">
        <v>46116</v>
      </c>
      <c r="C13" t="s">
        <v>17</v>
      </c>
      <c r="D13" t="s">
        <v>29</v>
      </c>
      <c r="E13" t="s">
        <v>15</v>
      </c>
      <c r="F13" t="s">
        <v>30</v>
      </c>
      <c r="G13" s="1">
        <v>1655</v>
      </c>
      <c r="H13" t="s">
        <v>6</v>
      </c>
      <c r="I13" t="s">
        <v>7</v>
      </c>
      <c r="J13" s="7">
        <v>1682</v>
      </c>
    </row>
    <row r="14" spans="1:10" x14ac:dyDescent="0.3">
      <c r="A14" t="s">
        <v>39</v>
      </c>
      <c r="B14" s="2">
        <v>46091</v>
      </c>
      <c r="C14" t="s">
        <v>9</v>
      </c>
      <c r="D14" t="s">
        <v>34</v>
      </c>
      <c r="E14" t="s">
        <v>10</v>
      </c>
      <c r="F14" t="s">
        <v>35</v>
      </c>
      <c r="G14" s="1">
        <v>196</v>
      </c>
      <c r="H14" t="s">
        <v>6</v>
      </c>
      <c r="I14" t="s">
        <v>11</v>
      </c>
      <c r="J14" s="7">
        <v>151</v>
      </c>
    </row>
    <row r="15" spans="1:10" x14ac:dyDescent="0.3">
      <c r="A15" t="s">
        <v>40</v>
      </c>
      <c r="B15" s="2">
        <v>46085</v>
      </c>
      <c r="C15" t="s">
        <v>17</v>
      </c>
      <c r="D15" t="s">
        <v>15</v>
      </c>
      <c r="E15" t="s">
        <v>15</v>
      </c>
      <c r="F15" t="s">
        <v>37</v>
      </c>
      <c r="G15" s="1">
        <v>10716</v>
      </c>
      <c r="H15" t="s">
        <v>6</v>
      </c>
      <c r="I15" t="s">
        <v>11</v>
      </c>
      <c r="J15" s="7">
        <v>10697</v>
      </c>
    </row>
    <row r="16" spans="1:10" x14ac:dyDescent="0.3">
      <c r="A16" t="s">
        <v>41</v>
      </c>
      <c r="B16" s="2">
        <v>46199</v>
      </c>
      <c r="C16" t="s">
        <v>14</v>
      </c>
      <c r="D16" t="s">
        <v>25</v>
      </c>
      <c r="E16" t="s">
        <v>4</v>
      </c>
      <c r="F16" t="s">
        <v>27</v>
      </c>
      <c r="G16" s="1">
        <v>1628</v>
      </c>
      <c r="H16" t="s">
        <v>6</v>
      </c>
      <c r="I16" t="s">
        <v>7</v>
      </c>
      <c r="J16" s="7">
        <v>1221</v>
      </c>
    </row>
    <row r="17" spans="1:10" x14ac:dyDescent="0.3">
      <c r="A17" t="s">
        <v>42</v>
      </c>
      <c r="B17" s="2">
        <v>46031</v>
      </c>
      <c r="C17" t="s">
        <v>21</v>
      </c>
      <c r="D17" t="s">
        <v>15</v>
      </c>
      <c r="E17" t="s">
        <v>4</v>
      </c>
      <c r="F17" t="s">
        <v>37</v>
      </c>
      <c r="G17" s="1">
        <v>8886</v>
      </c>
      <c r="H17" t="s">
        <v>6</v>
      </c>
      <c r="I17" t="s">
        <v>11</v>
      </c>
      <c r="J17" s="7">
        <v>7481</v>
      </c>
    </row>
    <row r="18" spans="1:10" x14ac:dyDescent="0.3">
      <c r="A18" t="s">
        <v>43</v>
      </c>
      <c r="B18" s="2">
        <v>46168</v>
      </c>
      <c r="C18" t="s">
        <v>9</v>
      </c>
      <c r="D18" t="s">
        <v>29</v>
      </c>
      <c r="E18" t="s">
        <v>18</v>
      </c>
      <c r="F18" t="s">
        <v>30</v>
      </c>
      <c r="G18" s="1">
        <v>1070</v>
      </c>
      <c r="H18" t="s">
        <v>23</v>
      </c>
      <c r="I18" t="s">
        <v>7</v>
      </c>
      <c r="J18" s="7">
        <v>1321</v>
      </c>
    </row>
    <row r="19" spans="1:10" x14ac:dyDescent="0.3">
      <c r="A19" t="s">
        <v>44</v>
      </c>
      <c r="B19" s="2">
        <v>46187</v>
      </c>
      <c r="C19" t="s">
        <v>45</v>
      </c>
      <c r="D19" t="s">
        <v>25</v>
      </c>
      <c r="E19" t="s">
        <v>4</v>
      </c>
      <c r="F19" t="s">
        <v>27</v>
      </c>
      <c r="G19" s="1">
        <v>1384</v>
      </c>
      <c r="H19" t="s">
        <v>6</v>
      </c>
      <c r="I19" t="s">
        <v>7</v>
      </c>
      <c r="J19" s="7">
        <v>1661</v>
      </c>
    </row>
    <row r="20" spans="1:10" x14ac:dyDescent="0.3">
      <c r="A20" t="s">
        <v>46</v>
      </c>
      <c r="B20" s="2">
        <v>46166</v>
      </c>
      <c r="C20" t="s">
        <v>14</v>
      </c>
      <c r="D20" t="s">
        <v>29</v>
      </c>
      <c r="E20" t="s">
        <v>10</v>
      </c>
      <c r="F20" t="s">
        <v>30</v>
      </c>
      <c r="G20" s="1">
        <v>2594</v>
      </c>
      <c r="H20" t="s">
        <v>23</v>
      </c>
      <c r="I20" t="s">
        <v>7</v>
      </c>
      <c r="J20" s="7">
        <v>2739</v>
      </c>
    </row>
    <row r="21" spans="1:10" x14ac:dyDescent="0.3">
      <c r="A21" t="s">
        <v>47</v>
      </c>
      <c r="B21" s="2">
        <v>46125</v>
      </c>
      <c r="C21" t="s">
        <v>21</v>
      </c>
      <c r="D21" t="s">
        <v>25</v>
      </c>
      <c r="E21" t="s">
        <v>26</v>
      </c>
      <c r="F21" t="s">
        <v>27</v>
      </c>
      <c r="G21" s="1">
        <v>866</v>
      </c>
      <c r="H21" t="s">
        <v>23</v>
      </c>
      <c r="I21" t="s">
        <v>7</v>
      </c>
      <c r="J21" s="7">
        <v>825</v>
      </c>
    </row>
    <row r="22" spans="1:10" x14ac:dyDescent="0.3">
      <c r="A22" t="s">
        <v>48</v>
      </c>
      <c r="B22" s="2">
        <v>46035</v>
      </c>
      <c r="C22" t="s">
        <v>2</v>
      </c>
      <c r="D22" t="s">
        <v>25</v>
      </c>
      <c r="E22" t="s">
        <v>10</v>
      </c>
      <c r="F22" t="s">
        <v>27</v>
      </c>
      <c r="G22" s="1">
        <v>955</v>
      </c>
      <c r="H22" t="s">
        <v>23</v>
      </c>
      <c r="I22" t="s">
        <v>11</v>
      </c>
      <c r="J22" s="7">
        <v>894</v>
      </c>
    </row>
    <row r="23" spans="1:10" x14ac:dyDescent="0.3">
      <c r="A23" t="s">
        <v>49</v>
      </c>
      <c r="B23" s="2">
        <v>46039</v>
      </c>
      <c r="C23" t="s">
        <v>45</v>
      </c>
      <c r="D23" t="s">
        <v>15</v>
      </c>
      <c r="E23" t="s">
        <v>10</v>
      </c>
      <c r="F23" t="s">
        <v>37</v>
      </c>
      <c r="G23" s="1">
        <v>71315</v>
      </c>
      <c r="H23" t="s">
        <v>23</v>
      </c>
      <c r="I23" t="s">
        <v>11</v>
      </c>
      <c r="J23" s="7">
        <v>68686</v>
      </c>
    </row>
    <row r="24" spans="1:10" x14ac:dyDescent="0.3">
      <c r="A24" t="s">
        <v>50</v>
      </c>
      <c r="B24" s="2">
        <v>46087</v>
      </c>
      <c r="C24" t="s">
        <v>14</v>
      </c>
      <c r="D24" t="s">
        <v>3</v>
      </c>
      <c r="E24" t="s">
        <v>15</v>
      </c>
      <c r="F24" t="s">
        <v>5</v>
      </c>
      <c r="G24" s="1">
        <v>619</v>
      </c>
      <c r="H24" t="s">
        <v>6</v>
      </c>
      <c r="I24" t="s">
        <v>11</v>
      </c>
      <c r="J24" s="7">
        <v>565</v>
      </c>
    </row>
    <row r="25" spans="1:10" x14ac:dyDescent="0.3">
      <c r="A25" t="s">
        <v>51</v>
      </c>
      <c r="B25" s="2">
        <v>46110</v>
      </c>
      <c r="C25" t="s">
        <v>2</v>
      </c>
      <c r="D25" t="s">
        <v>29</v>
      </c>
      <c r="E25" t="s">
        <v>18</v>
      </c>
      <c r="F25" t="s">
        <v>30</v>
      </c>
      <c r="G25" s="1">
        <v>1980</v>
      </c>
      <c r="H25" t="s">
        <v>6</v>
      </c>
      <c r="I25" t="s">
        <v>11</v>
      </c>
      <c r="J25" s="7">
        <v>1588</v>
      </c>
    </row>
    <row r="26" spans="1:10" x14ac:dyDescent="0.3">
      <c r="A26" t="s">
        <v>52</v>
      </c>
      <c r="B26" s="2">
        <v>46023</v>
      </c>
      <c r="C26" t="s">
        <v>9</v>
      </c>
      <c r="D26" t="s">
        <v>34</v>
      </c>
      <c r="E26" t="s">
        <v>10</v>
      </c>
      <c r="F26" t="s">
        <v>35</v>
      </c>
      <c r="G26" s="1">
        <v>589</v>
      </c>
      <c r="H26" t="s">
        <v>6</v>
      </c>
      <c r="I26" t="s">
        <v>11</v>
      </c>
      <c r="J26" s="7">
        <v>686</v>
      </c>
    </row>
    <row r="27" spans="1:10" x14ac:dyDescent="0.3">
      <c r="A27" t="s">
        <v>53</v>
      </c>
      <c r="B27" s="2">
        <v>46050</v>
      </c>
      <c r="C27" t="s">
        <v>9</v>
      </c>
      <c r="D27" t="s">
        <v>29</v>
      </c>
      <c r="E27" t="s">
        <v>4</v>
      </c>
      <c r="F27" t="s">
        <v>30</v>
      </c>
      <c r="G27" s="1">
        <v>2817</v>
      </c>
      <c r="H27" t="s">
        <v>6</v>
      </c>
      <c r="I27" t="s">
        <v>11</v>
      </c>
      <c r="J27" s="7">
        <v>3387</v>
      </c>
    </row>
    <row r="28" spans="1:10" x14ac:dyDescent="0.3">
      <c r="A28" t="s">
        <v>54</v>
      </c>
      <c r="B28" s="2">
        <v>46118</v>
      </c>
      <c r="C28" t="s">
        <v>17</v>
      </c>
      <c r="D28" t="s">
        <v>17</v>
      </c>
      <c r="E28" t="s">
        <v>18</v>
      </c>
      <c r="F28" t="s">
        <v>19</v>
      </c>
      <c r="G28" s="1">
        <v>809</v>
      </c>
      <c r="H28" t="s">
        <v>6</v>
      </c>
      <c r="I28" t="s">
        <v>7</v>
      </c>
      <c r="J28" s="7">
        <v>702</v>
      </c>
    </row>
    <row r="29" spans="1:10" x14ac:dyDescent="0.3">
      <c r="A29" t="s">
        <v>55</v>
      </c>
      <c r="B29" s="2">
        <v>46027</v>
      </c>
      <c r="C29" t="s">
        <v>2</v>
      </c>
      <c r="D29" t="s">
        <v>29</v>
      </c>
      <c r="E29" t="s">
        <v>26</v>
      </c>
      <c r="F29" t="s">
        <v>30</v>
      </c>
      <c r="G29" s="1">
        <v>1459</v>
      </c>
      <c r="H29" t="s">
        <v>6</v>
      </c>
      <c r="I29" t="s">
        <v>11</v>
      </c>
      <c r="J29" s="7">
        <v>1546</v>
      </c>
    </row>
    <row r="30" spans="1:10" x14ac:dyDescent="0.3">
      <c r="A30" t="s">
        <v>56</v>
      </c>
      <c r="B30" s="2">
        <v>46084</v>
      </c>
      <c r="C30" t="s">
        <v>14</v>
      </c>
      <c r="D30" t="s">
        <v>3</v>
      </c>
      <c r="E30" t="s">
        <v>26</v>
      </c>
      <c r="F30" t="s">
        <v>5</v>
      </c>
      <c r="G30" s="1">
        <v>500</v>
      </c>
      <c r="H30" t="s">
        <v>23</v>
      </c>
      <c r="I30" t="s">
        <v>11</v>
      </c>
      <c r="J30" s="7">
        <v>569</v>
      </c>
    </row>
    <row r="31" spans="1:10" x14ac:dyDescent="0.3">
      <c r="A31" t="s">
        <v>57</v>
      </c>
      <c r="B31" s="2">
        <v>46159</v>
      </c>
      <c r="C31" t="s">
        <v>17</v>
      </c>
      <c r="D31" t="s">
        <v>25</v>
      </c>
      <c r="E31" t="s">
        <v>22</v>
      </c>
      <c r="F31" t="s">
        <v>27</v>
      </c>
      <c r="G31" s="1">
        <v>2246</v>
      </c>
      <c r="H31" t="s">
        <v>6</v>
      </c>
      <c r="I31" t="s">
        <v>7</v>
      </c>
      <c r="J31" s="7">
        <v>2447</v>
      </c>
    </row>
    <row r="32" spans="1:10" x14ac:dyDescent="0.3">
      <c r="A32" t="s">
        <v>58</v>
      </c>
      <c r="B32" s="2">
        <v>46158</v>
      </c>
      <c r="C32" t="s">
        <v>14</v>
      </c>
      <c r="D32" t="s">
        <v>15</v>
      </c>
      <c r="E32" t="s">
        <v>15</v>
      </c>
      <c r="F32" t="s">
        <v>37</v>
      </c>
      <c r="G32" s="1">
        <v>7970</v>
      </c>
      <c r="H32" t="s">
        <v>6</v>
      </c>
      <c r="I32" t="s">
        <v>7</v>
      </c>
      <c r="J32" s="7">
        <v>6542</v>
      </c>
    </row>
    <row r="33" spans="1:10" x14ac:dyDescent="0.3">
      <c r="A33" t="s">
        <v>59</v>
      </c>
      <c r="B33" s="2">
        <v>46102</v>
      </c>
      <c r="C33" t="s">
        <v>45</v>
      </c>
      <c r="D33" t="s">
        <v>34</v>
      </c>
      <c r="E33" t="s">
        <v>10</v>
      </c>
      <c r="F33" t="s">
        <v>35</v>
      </c>
      <c r="G33" s="1">
        <v>814</v>
      </c>
      <c r="H33" t="s">
        <v>23</v>
      </c>
      <c r="I33" t="s">
        <v>11</v>
      </c>
      <c r="J33" s="7">
        <v>987</v>
      </c>
    </row>
    <row r="34" spans="1:10" x14ac:dyDescent="0.3">
      <c r="A34" t="s">
        <v>60</v>
      </c>
      <c r="B34" s="2">
        <v>46138</v>
      </c>
      <c r="C34" t="s">
        <v>2</v>
      </c>
      <c r="D34" t="s">
        <v>25</v>
      </c>
      <c r="E34" t="s">
        <v>22</v>
      </c>
      <c r="F34" t="s">
        <v>27</v>
      </c>
      <c r="G34" s="1">
        <v>1220</v>
      </c>
      <c r="H34" t="s">
        <v>6</v>
      </c>
      <c r="I34" t="s">
        <v>7</v>
      </c>
      <c r="J34" s="7">
        <v>997</v>
      </c>
    </row>
    <row r="35" spans="1:10" x14ac:dyDescent="0.3">
      <c r="A35" t="s">
        <v>61</v>
      </c>
      <c r="B35" s="2">
        <v>46028</v>
      </c>
      <c r="C35" t="s">
        <v>14</v>
      </c>
      <c r="D35" t="s">
        <v>17</v>
      </c>
      <c r="E35" t="s">
        <v>26</v>
      </c>
      <c r="F35" t="s">
        <v>19</v>
      </c>
      <c r="G35" s="1">
        <v>4570</v>
      </c>
      <c r="H35" t="s">
        <v>6</v>
      </c>
      <c r="I35" t="s">
        <v>11</v>
      </c>
      <c r="J35" s="7">
        <v>5469</v>
      </c>
    </row>
    <row r="36" spans="1:10" x14ac:dyDescent="0.3">
      <c r="A36" t="s">
        <v>62</v>
      </c>
      <c r="B36" s="2">
        <v>46041</v>
      </c>
      <c r="C36" t="s">
        <v>9</v>
      </c>
      <c r="D36" t="s">
        <v>34</v>
      </c>
      <c r="E36" t="s">
        <v>26</v>
      </c>
      <c r="F36" t="s">
        <v>35</v>
      </c>
      <c r="G36" s="1">
        <v>170</v>
      </c>
      <c r="H36" t="s">
        <v>6</v>
      </c>
      <c r="I36" t="s">
        <v>11</v>
      </c>
      <c r="J36" s="7">
        <v>142</v>
      </c>
    </row>
    <row r="37" spans="1:10" x14ac:dyDescent="0.3">
      <c r="A37" t="s">
        <v>63</v>
      </c>
      <c r="B37" s="2">
        <v>46031</v>
      </c>
      <c r="C37" t="s">
        <v>21</v>
      </c>
      <c r="D37" t="s">
        <v>3</v>
      </c>
      <c r="E37" t="s">
        <v>22</v>
      </c>
      <c r="F37" t="s">
        <v>5</v>
      </c>
      <c r="G37" s="1">
        <v>2255</v>
      </c>
      <c r="H37" t="s">
        <v>6</v>
      </c>
      <c r="I37" t="s">
        <v>11</v>
      </c>
      <c r="J37" s="7">
        <v>2446</v>
      </c>
    </row>
    <row r="38" spans="1:10" x14ac:dyDescent="0.3">
      <c r="A38" t="s">
        <v>64</v>
      </c>
      <c r="B38" s="2">
        <v>46194</v>
      </c>
      <c r="C38" t="s">
        <v>45</v>
      </c>
      <c r="D38" t="s">
        <v>25</v>
      </c>
      <c r="E38" t="s">
        <v>4</v>
      </c>
      <c r="F38" t="s">
        <v>27</v>
      </c>
      <c r="G38" s="1">
        <v>841</v>
      </c>
      <c r="H38" t="s">
        <v>23</v>
      </c>
      <c r="I38" t="s">
        <v>7</v>
      </c>
      <c r="J38" s="7">
        <v>849</v>
      </c>
    </row>
    <row r="39" spans="1:10" x14ac:dyDescent="0.3">
      <c r="A39" t="s">
        <v>65</v>
      </c>
      <c r="B39" s="2">
        <v>46144</v>
      </c>
      <c r="C39" t="s">
        <v>45</v>
      </c>
      <c r="D39" t="s">
        <v>25</v>
      </c>
      <c r="E39" t="s">
        <v>15</v>
      </c>
      <c r="F39" t="s">
        <v>27</v>
      </c>
      <c r="G39" s="1">
        <v>686</v>
      </c>
      <c r="H39" t="s">
        <v>6</v>
      </c>
      <c r="I39" t="s">
        <v>7</v>
      </c>
      <c r="J39" s="7">
        <v>812</v>
      </c>
    </row>
    <row r="40" spans="1:10" x14ac:dyDescent="0.3">
      <c r="A40" t="s">
        <v>66</v>
      </c>
      <c r="B40" s="2">
        <v>46133</v>
      </c>
      <c r="C40" t="s">
        <v>21</v>
      </c>
      <c r="D40" t="s">
        <v>15</v>
      </c>
      <c r="E40" t="s">
        <v>15</v>
      </c>
      <c r="F40" t="s">
        <v>37</v>
      </c>
      <c r="G40" s="1">
        <v>11235</v>
      </c>
      <c r="H40" t="s">
        <v>23</v>
      </c>
      <c r="I40" t="s">
        <v>7</v>
      </c>
      <c r="J40" s="7">
        <v>13607</v>
      </c>
    </row>
    <row r="41" spans="1:10" x14ac:dyDescent="0.3">
      <c r="A41" t="s">
        <v>67</v>
      </c>
      <c r="B41" s="2">
        <v>46036</v>
      </c>
      <c r="C41" t="s">
        <v>9</v>
      </c>
      <c r="D41" t="s">
        <v>34</v>
      </c>
      <c r="E41" t="s">
        <v>18</v>
      </c>
      <c r="F41" t="s">
        <v>35</v>
      </c>
      <c r="G41" s="1">
        <v>251</v>
      </c>
      <c r="H41" t="s">
        <v>6</v>
      </c>
      <c r="I41" t="s">
        <v>11</v>
      </c>
      <c r="J41" s="7">
        <v>264</v>
      </c>
    </row>
    <row r="42" spans="1:10" x14ac:dyDescent="0.3">
      <c r="A42" t="s">
        <v>68</v>
      </c>
      <c r="B42" s="2">
        <v>46109</v>
      </c>
      <c r="C42" t="s">
        <v>2</v>
      </c>
      <c r="D42" t="s">
        <v>25</v>
      </c>
      <c r="E42" t="s">
        <v>10</v>
      </c>
      <c r="F42" t="s">
        <v>27</v>
      </c>
      <c r="G42" s="1">
        <v>1084</v>
      </c>
      <c r="H42" t="s">
        <v>6</v>
      </c>
      <c r="I42" t="s">
        <v>11</v>
      </c>
      <c r="J42" s="7">
        <v>1200</v>
      </c>
    </row>
    <row r="43" spans="1:10" x14ac:dyDescent="0.3">
      <c r="A43" t="s">
        <v>69</v>
      </c>
      <c r="B43" s="2">
        <v>46137</v>
      </c>
      <c r="C43" t="s">
        <v>17</v>
      </c>
      <c r="D43" t="s">
        <v>15</v>
      </c>
      <c r="E43" t="s">
        <v>18</v>
      </c>
      <c r="F43" t="s">
        <v>37</v>
      </c>
      <c r="G43" s="1">
        <v>7506</v>
      </c>
      <c r="H43" t="s">
        <v>6</v>
      </c>
      <c r="I43" t="s">
        <v>7</v>
      </c>
      <c r="J43" s="7">
        <v>8198</v>
      </c>
    </row>
    <row r="44" spans="1:10" x14ac:dyDescent="0.3">
      <c r="A44" t="s">
        <v>70</v>
      </c>
      <c r="B44" s="2">
        <v>46086</v>
      </c>
      <c r="C44" t="s">
        <v>2</v>
      </c>
      <c r="D44" t="s">
        <v>15</v>
      </c>
      <c r="E44" t="s">
        <v>26</v>
      </c>
      <c r="F44" t="s">
        <v>37</v>
      </c>
      <c r="G44" s="1">
        <v>17738</v>
      </c>
      <c r="H44" t="s">
        <v>6</v>
      </c>
      <c r="I44" t="s">
        <v>11</v>
      </c>
      <c r="J44" s="7">
        <v>21968</v>
      </c>
    </row>
    <row r="45" spans="1:10" x14ac:dyDescent="0.3">
      <c r="A45" t="s">
        <v>71</v>
      </c>
      <c r="B45" s="2">
        <v>46189</v>
      </c>
      <c r="C45" t="s">
        <v>14</v>
      </c>
      <c r="D45" t="s">
        <v>3</v>
      </c>
      <c r="E45" t="s">
        <v>4</v>
      </c>
      <c r="F45" t="s">
        <v>5</v>
      </c>
      <c r="G45" s="1">
        <v>532</v>
      </c>
      <c r="H45" t="s">
        <v>6</v>
      </c>
      <c r="I45" t="s">
        <v>7</v>
      </c>
      <c r="J45" s="7">
        <v>428</v>
      </c>
    </row>
    <row r="46" spans="1:10" x14ac:dyDescent="0.3">
      <c r="A46" t="s">
        <v>72</v>
      </c>
      <c r="B46" s="2">
        <v>46127</v>
      </c>
      <c r="C46" t="s">
        <v>45</v>
      </c>
      <c r="D46" t="s">
        <v>15</v>
      </c>
      <c r="E46" t="s">
        <v>26</v>
      </c>
      <c r="F46" t="s">
        <v>37</v>
      </c>
      <c r="G46" s="1">
        <v>8002</v>
      </c>
      <c r="H46" t="s">
        <v>23</v>
      </c>
      <c r="I46" t="s">
        <v>7</v>
      </c>
      <c r="J46" s="7">
        <v>7644</v>
      </c>
    </row>
    <row r="47" spans="1:10" x14ac:dyDescent="0.3">
      <c r="A47" t="s">
        <v>73</v>
      </c>
      <c r="B47" s="2">
        <v>46065</v>
      </c>
      <c r="C47" t="s">
        <v>45</v>
      </c>
      <c r="D47" t="s">
        <v>3</v>
      </c>
      <c r="E47" t="s">
        <v>18</v>
      </c>
      <c r="F47" t="s">
        <v>5</v>
      </c>
      <c r="G47" s="1">
        <v>1749</v>
      </c>
      <c r="H47" t="s">
        <v>6</v>
      </c>
      <c r="I47" t="s">
        <v>11</v>
      </c>
      <c r="J47" s="7">
        <v>1649</v>
      </c>
    </row>
    <row r="48" spans="1:10" x14ac:dyDescent="0.3">
      <c r="A48" t="s">
        <v>74</v>
      </c>
      <c r="B48" s="2">
        <v>46096</v>
      </c>
      <c r="C48" t="s">
        <v>45</v>
      </c>
      <c r="D48" t="s">
        <v>34</v>
      </c>
      <c r="E48" t="s">
        <v>4</v>
      </c>
      <c r="F48" t="s">
        <v>35</v>
      </c>
      <c r="G48" s="1">
        <v>1188</v>
      </c>
      <c r="H48" t="s">
        <v>23</v>
      </c>
      <c r="I48" t="s">
        <v>11</v>
      </c>
      <c r="J48" s="7">
        <v>1389</v>
      </c>
    </row>
    <row r="49" spans="1:10" x14ac:dyDescent="0.3">
      <c r="A49" t="s">
        <v>75</v>
      </c>
      <c r="B49" s="2">
        <v>46071</v>
      </c>
      <c r="C49" t="s">
        <v>21</v>
      </c>
      <c r="D49" t="s">
        <v>25</v>
      </c>
      <c r="E49" t="s">
        <v>15</v>
      </c>
      <c r="F49" t="s">
        <v>27</v>
      </c>
      <c r="G49" s="1">
        <v>539</v>
      </c>
      <c r="H49" t="s">
        <v>6</v>
      </c>
      <c r="I49" t="s">
        <v>11</v>
      </c>
      <c r="J49" s="7">
        <v>651</v>
      </c>
    </row>
    <row r="50" spans="1:10" x14ac:dyDescent="0.3">
      <c r="A50" t="s">
        <v>76</v>
      </c>
      <c r="B50" s="2">
        <v>46103</v>
      </c>
      <c r="C50" t="s">
        <v>2</v>
      </c>
      <c r="D50" t="s">
        <v>3</v>
      </c>
      <c r="E50" t="s">
        <v>26</v>
      </c>
      <c r="F50" t="s">
        <v>5</v>
      </c>
      <c r="G50" s="1">
        <v>2102</v>
      </c>
      <c r="H50" t="s">
        <v>6</v>
      </c>
      <c r="I50" t="s">
        <v>11</v>
      </c>
      <c r="J50" s="7">
        <v>1974</v>
      </c>
    </row>
    <row r="51" spans="1:10" x14ac:dyDescent="0.3">
      <c r="A51" t="s">
        <v>77</v>
      </c>
      <c r="B51" s="2">
        <v>46153</v>
      </c>
      <c r="C51" t="s">
        <v>2</v>
      </c>
      <c r="D51" t="s">
        <v>25</v>
      </c>
      <c r="E51" t="s">
        <v>15</v>
      </c>
      <c r="F51" t="s">
        <v>27</v>
      </c>
      <c r="G51" s="1">
        <v>580</v>
      </c>
      <c r="H51" t="s">
        <v>6</v>
      </c>
      <c r="I51" t="s">
        <v>7</v>
      </c>
      <c r="J51" s="7">
        <v>560</v>
      </c>
    </row>
    <row r="52" spans="1:10" x14ac:dyDescent="0.3">
      <c r="A52" t="s">
        <v>78</v>
      </c>
      <c r="B52" s="2">
        <v>46083</v>
      </c>
      <c r="C52" t="s">
        <v>45</v>
      </c>
      <c r="D52" t="s">
        <v>3</v>
      </c>
      <c r="E52" t="s">
        <v>10</v>
      </c>
      <c r="F52" t="s">
        <v>5</v>
      </c>
      <c r="G52" s="1">
        <v>2483</v>
      </c>
      <c r="H52" t="s">
        <v>6</v>
      </c>
      <c r="I52" t="s">
        <v>11</v>
      </c>
      <c r="J52" s="7">
        <v>2648</v>
      </c>
    </row>
    <row r="53" spans="1:10" x14ac:dyDescent="0.3">
      <c r="A53" t="s">
        <v>79</v>
      </c>
      <c r="B53" s="2">
        <v>46175</v>
      </c>
      <c r="C53" t="s">
        <v>2</v>
      </c>
      <c r="D53" t="s">
        <v>17</v>
      </c>
      <c r="E53" t="s">
        <v>15</v>
      </c>
      <c r="F53" t="s">
        <v>19</v>
      </c>
      <c r="G53" s="1">
        <v>2143</v>
      </c>
      <c r="H53" t="s">
        <v>23</v>
      </c>
      <c r="I53" t="s">
        <v>7</v>
      </c>
      <c r="J53" s="7">
        <v>1831</v>
      </c>
    </row>
    <row r="54" spans="1:10" x14ac:dyDescent="0.3">
      <c r="A54" t="s">
        <v>80</v>
      </c>
      <c r="B54" s="2">
        <v>46172</v>
      </c>
      <c r="C54" t="s">
        <v>14</v>
      </c>
      <c r="D54" t="s">
        <v>17</v>
      </c>
      <c r="E54" t="s">
        <v>4</v>
      </c>
      <c r="F54" t="s">
        <v>19</v>
      </c>
      <c r="G54" s="1">
        <v>5983</v>
      </c>
      <c r="H54" t="s">
        <v>6</v>
      </c>
      <c r="I54" t="s">
        <v>7</v>
      </c>
      <c r="J54" s="7">
        <v>6080</v>
      </c>
    </row>
    <row r="55" spans="1:10" x14ac:dyDescent="0.3">
      <c r="A55" t="s">
        <v>81</v>
      </c>
      <c r="B55" s="2">
        <v>46194</v>
      </c>
      <c r="C55" t="s">
        <v>9</v>
      </c>
      <c r="D55" t="s">
        <v>29</v>
      </c>
      <c r="E55" t="s">
        <v>18</v>
      </c>
      <c r="F55" t="s">
        <v>30</v>
      </c>
      <c r="G55" s="1">
        <v>1177</v>
      </c>
      <c r="H55" t="s">
        <v>6</v>
      </c>
      <c r="I55" t="s">
        <v>7</v>
      </c>
      <c r="J55" s="7">
        <v>1047</v>
      </c>
    </row>
    <row r="56" spans="1:10" x14ac:dyDescent="0.3">
      <c r="A56" t="s">
        <v>82</v>
      </c>
      <c r="B56" s="2">
        <v>46056</v>
      </c>
      <c r="C56" t="s">
        <v>9</v>
      </c>
      <c r="D56" t="s">
        <v>34</v>
      </c>
      <c r="E56" t="s">
        <v>22</v>
      </c>
      <c r="F56" t="s">
        <v>35</v>
      </c>
      <c r="G56" s="1">
        <v>664</v>
      </c>
      <c r="H56" t="s">
        <v>23</v>
      </c>
      <c r="I56" t="s">
        <v>11</v>
      </c>
      <c r="J56" s="7">
        <v>551</v>
      </c>
    </row>
    <row r="57" spans="1:10" x14ac:dyDescent="0.3">
      <c r="A57" t="s">
        <v>83</v>
      </c>
      <c r="B57" s="2">
        <v>46041</v>
      </c>
      <c r="C57" t="s">
        <v>2</v>
      </c>
      <c r="D57" t="s">
        <v>15</v>
      </c>
      <c r="E57" t="s">
        <v>26</v>
      </c>
      <c r="F57" t="s">
        <v>37</v>
      </c>
      <c r="G57" s="1">
        <v>14677</v>
      </c>
      <c r="H57" t="s">
        <v>6</v>
      </c>
      <c r="I57" t="s">
        <v>11</v>
      </c>
      <c r="J57" s="7">
        <v>15908</v>
      </c>
    </row>
    <row r="58" spans="1:10" x14ac:dyDescent="0.3">
      <c r="A58" t="s">
        <v>84</v>
      </c>
      <c r="B58" s="2">
        <v>46160</v>
      </c>
      <c r="C58" t="s">
        <v>17</v>
      </c>
      <c r="D58" t="s">
        <v>17</v>
      </c>
      <c r="E58" t="s">
        <v>22</v>
      </c>
      <c r="F58" t="s">
        <v>19</v>
      </c>
      <c r="G58" s="1">
        <v>5145</v>
      </c>
      <c r="H58" t="s">
        <v>6</v>
      </c>
      <c r="I58" t="s">
        <v>7</v>
      </c>
      <c r="J58" s="7">
        <v>5395</v>
      </c>
    </row>
    <row r="59" spans="1:10" x14ac:dyDescent="0.3">
      <c r="A59" t="s">
        <v>85</v>
      </c>
      <c r="B59" s="2">
        <v>46040</v>
      </c>
      <c r="C59" t="s">
        <v>17</v>
      </c>
      <c r="D59" t="s">
        <v>29</v>
      </c>
      <c r="E59" t="s">
        <v>18</v>
      </c>
      <c r="F59" t="s">
        <v>30</v>
      </c>
      <c r="G59" s="1">
        <v>1367</v>
      </c>
      <c r="H59" t="s">
        <v>6</v>
      </c>
      <c r="I59" t="s">
        <v>11</v>
      </c>
      <c r="J59" s="7">
        <v>1212</v>
      </c>
    </row>
    <row r="60" spans="1:10" x14ac:dyDescent="0.3">
      <c r="A60" t="s">
        <v>86</v>
      </c>
      <c r="B60" s="2">
        <v>46162</v>
      </c>
      <c r="C60" t="s">
        <v>9</v>
      </c>
      <c r="D60" t="s">
        <v>29</v>
      </c>
      <c r="E60" t="s">
        <v>15</v>
      </c>
      <c r="F60" t="s">
        <v>30</v>
      </c>
      <c r="G60" s="1">
        <v>2705</v>
      </c>
      <c r="H60" t="s">
        <v>6</v>
      </c>
      <c r="I60" t="s">
        <v>7</v>
      </c>
      <c r="J60" s="7">
        <v>2162</v>
      </c>
    </row>
    <row r="61" spans="1:10" x14ac:dyDescent="0.3">
      <c r="A61" t="s">
        <v>87</v>
      </c>
      <c r="B61" s="2">
        <v>46164</v>
      </c>
      <c r="C61" t="s">
        <v>21</v>
      </c>
      <c r="D61" t="s">
        <v>34</v>
      </c>
      <c r="E61" t="s">
        <v>22</v>
      </c>
      <c r="F61" t="s">
        <v>35</v>
      </c>
      <c r="G61" s="1">
        <v>262</v>
      </c>
      <c r="H61" t="s">
        <v>6</v>
      </c>
      <c r="I61" t="s">
        <v>7</v>
      </c>
      <c r="J61" s="7">
        <v>224</v>
      </c>
    </row>
    <row r="62" spans="1:10" x14ac:dyDescent="0.3">
      <c r="A62" t="s">
        <v>88</v>
      </c>
      <c r="B62" s="2">
        <v>46052</v>
      </c>
      <c r="C62" t="s">
        <v>2</v>
      </c>
      <c r="D62" t="s">
        <v>34</v>
      </c>
      <c r="E62" t="s">
        <v>22</v>
      </c>
      <c r="F62" t="s">
        <v>35</v>
      </c>
      <c r="G62" s="1">
        <v>1183</v>
      </c>
      <c r="H62" t="s">
        <v>6</v>
      </c>
      <c r="I62" t="s">
        <v>11</v>
      </c>
      <c r="J62" s="7">
        <v>1080</v>
      </c>
    </row>
    <row r="63" spans="1:10" x14ac:dyDescent="0.3">
      <c r="A63" t="s">
        <v>89</v>
      </c>
      <c r="B63" s="2">
        <v>46095</v>
      </c>
      <c r="C63" t="s">
        <v>14</v>
      </c>
      <c r="D63" t="s">
        <v>25</v>
      </c>
      <c r="E63" t="s">
        <v>15</v>
      </c>
      <c r="F63" t="s">
        <v>27</v>
      </c>
      <c r="G63" s="1">
        <v>1704</v>
      </c>
      <c r="H63" t="s">
        <v>6</v>
      </c>
      <c r="I63" t="s">
        <v>11</v>
      </c>
      <c r="J63" s="7">
        <v>1435</v>
      </c>
    </row>
    <row r="64" spans="1:10" x14ac:dyDescent="0.3">
      <c r="A64" t="s">
        <v>90</v>
      </c>
      <c r="B64" s="2">
        <v>46185</v>
      </c>
      <c r="C64" t="s">
        <v>21</v>
      </c>
      <c r="D64" t="s">
        <v>17</v>
      </c>
      <c r="E64" t="s">
        <v>26</v>
      </c>
      <c r="F64" t="s">
        <v>19</v>
      </c>
      <c r="G64" s="1">
        <v>8804</v>
      </c>
      <c r="H64" t="s">
        <v>6</v>
      </c>
      <c r="I64" t="s">
        <v>7</v>
      </c>
      <c r="J64" s="7">
        <v>8683</v>
      </c>
    </row>
    <row r="65" spans="1:10" x14ac:dyDescent="0.3">
      <c r="A65" t="s">
        <v>91</v>
      </c>
      <c r="B65" s="2">
        <v>46046</v>
      </c>
      <c r="C65" t="s">
        <v>9</v>
      </c>
      <c r="D65" t="s">
        <v>15</v>
      </c>
      <c r="E65" t="s">
        <v>26</v>
      </c>
      <c r="F65" t="s">
        <v>37</v>
      </c>
      <c r="G65" s="1">
        <v>9033</v>
      </c>
      <c r="H65" t="s">
        <v>6</v>
      </c>
      <c r="I65" t="s">
        <v>11</v>
      </c>
      <c r="J65" s="7">
        <v>8816</v>
      </c>
    </row>
    <row r="66" spans="1:10" x14ac:dyDescent="0.3">
      <c r="A66" t="s">
        <v>92</v>
      </c>
      <c r="B66" s="2">
        <v>46108</v>
      </c>
      <c r="C66" t="s">
        <v>17</v>
      </c>
      <c r="D66" t="s">
        <v>34</v>
      </c>
      <c r="E66" t="s">
        <v>15</v>
      </c>
      <c r="F66" t="s">
        <v>35</v>
      </c>
      <c r="G66" s="1">
        <v>586</v>
      </c>
      <c r="H66" t="s">
        <v>6</v>
      </c>
      <c r="I66" t="s">
        <v>11</v>
      </c>
      <c r="J66" s="7">
        <v>578</v>
      </c>
    </row>
    <row r="67" spans="1:10" x14ac:dyDescent="0.3">
      <c r="A67" t="s">
        <v>93</v>
      </c>
      <c r="B67" s="2">
        <v>46136</v>
      </c>
      <c r="C67" t="s">
        <v>14</v>
      </c>
      <c r="D67" t="s">
        <v>34</v>
      </c>
      <c r="E67" t="s">
        <v>26</v>
      </c>
      <c r="F67" t="s">
        <v>35</v>
      </c>
      <c r="G67" s="1">
        <v>4625</v>
      </c>
      <c r="H67" t="s">
        <v>6</v>
      </c>
      <c r="I67" t="s">
        <v>7</v>
      </c>
      <c r="J67" s="7">
        <v>3631</v>
      </c>
    </row>
    <row r="68" spans="1:10" x14ac:dyDescent="0.3">
      <c r="A68" t="s">
        <v>94</v>
      </c>
      <c r="B68" s="2">
        <v>46042</v>
      </c>
      <c r="C68" t="s">
        <v>9</v>
      </c>
      <c r="D68" t="s">
        <v>25</v>
      </c>
      <c r="E68" t="s">
        <v>10</v>
      </c>
      <c r="F68" t="s">
        <v>27</v>
      </c>
      <c r="G68" s="1">
        <v>447</v>
      </c>
      <c r="H68" t="s">
        <v>6</v>
      </c>
      <c r="I68" t="s">
        <v>11</v>
      </c>
      <c r="J68" s="7">
        <v>488</v>
      </c>
    </row>
    <row r="69" spans="1:10" x14ac:dyDescent="0.3">
      <c r="A69" t="s">
        <v>95</v>
      </c>
      <c r="B69" s="2">
        <v>46164</v>
      </c>
      <c r="C69" t="s">
        <v>17</v>
      </c>
      <c r="D69" t="s">
        <v>15</v>
      </c>
      <c r="E69" t="s">
        <v>22</v>
      </c>
      <c r="F69" t="s">
        <v>37</v>
      </c>
      <c r="G69" s="1">
        <v>6588</v>
      </c>
      <c r="H69" t="s">
        <v>6</v>
      </c>
      <c r="I69" t="s">
        <v>7</v>
      </c>
      <c r="J69" s="7">
        <v>5329</v>
      </c>
    </row>
    <row r="70" spans="1:10" x14ac:dyDescent="0.3">
      <c r="A70" t="s">
        <v>96</v>
      </c>
      <c r="B70" s="2">
        <v>46116</v>
      </c>
      <c r="C70" t="s">
        <v>2</v>
      </c>
      <c r="D70" t="s">
        <v>29</v>
      </c>
      <c r="E70" t="s">
        <v>15</v>
      </c>
      <c r="F70" t="s">
        <v>30</v>
      </c>
      <c r="G70" s="1">
        <v>1060</v>
      </c>
      <c r="H70" t="s">
        <v>6</v>
      </c>
      <c r="I70" t="s">
        <v>7</v>
      </c>
      <c r="J70" s="7">
        <v>1311</v>
      </c>
    </row>
    <row r="71" spans="1:10" x14ac:dyDescent="0.3">
      <c r="A71" t="s">
        <v>97</v>
      </c>
      <c r="B71" s="2">
        <v>46049</v>
      </c>
      <c r="C71" t="s">
        <v>21</v>
      </c>
      <c r="D71" t="s">
        <v>17</v>
      </c>
      <c r="E71" t="s">
        <v>4</v>
      </c>
      <c r="F71" t="s">
        <v>19</v>
      </c>
      <c r="G71" s="1">
        <v>7458</v>
      </c>
      <c r="H71" t="s">
        <v>6</v>
      </c>
      <c r="I71" t="s">
        <v>11</v>
      </c>
      <c r="J71" s="7">
        <v>6863</v>
      </c>
    </row>
    <row r="72" spans="1:10" x14ac:dyDescent="0.3">
      <c r="A72" t="s">
        <v>98</v>
      </c>
      <c r="B72" s="2">
        <v>46064</v>
      </c>
      <c r="C72" t="s">
        <v>17</v>
      </c>
      <c r="D72" t="s">
        <v>15</v>
      </c>
      <c r="E72" t="s">
        <v>15</v>
      </c>
      <c r="F72" t="s">
        <v>37</v>
      </c>
      <c r="G72" s="1">
        <v>4906</v>
      </c>
      <c r="H72" t="s">
        <v>6</v>
      </c>
      <c r="I72" t="s">
        <v>11</v>
      </c>
      <c r="J72" s="7">
        <v>5397</v>
      </c>
    </row>
    <row r="73" spans="1:10" x14ac:dyDescent="0.3">
      <c r="A73" t="s">
        <v>99</v>
      </c>
      <c r="B73" s="2">
        <v>46108</v>
      </c>
      <c r="C73" t="s">
        <v>45</v>
      </c>
      <c r="D73" t="s">
        <v>34</v>
      </c>
      <c r="E73" t="s">
        <v>4</v>
      </c>
      <c r="F73" t="s">
        <v>35</v>
      </c>
      <c r="G73" s="1">
        <v>558</v>
      </c>
      <c r="H73" t="s">
        <v>6</v>
      </c>
      <c r="I73" t="s">
        <v>11</v>
      </c>
      <c r="J73" s="7">
        <v>693</v>
      </c>
    </row>
    <row r="74" spans="1:10" x14ac:dyDescent="0.3">
      <c r="A74" t="s">
        <v>100</v>
      </c>
      <c r="B74" s="2">
        <v>46202</v>
      </c>
      <c r="C74" t="s">
        <v>2</v>
      </c>
      <c r="D74" t="s">
        <v>15</v>
      </c>
      <c r="E74" t="s">
        <v>4</v>
      </c>
      <c r="F74" t="s">
        <v>37</v>
      </c>
      <c r="G74" s="1">
        <v>5134</v>
      </c>
      <c r="H74" t="s">
        <v>23</v>
      </c>
      <c r="I74" t="s">
        <v>7</v>
      </c>
      <c r="J74" s="7">
        <v>3942</v>
      </c>
    </row>
    <row r="75" spans="1:10" x14ac:dyDescent="0.3">
      <c r="A75" t="s">
        <v>101</v>
      </c>
      <c r="B75" s="2">
        <v>46074</v>
      </c>
      <c r="C75" t="s">
        <v>45</v>
      </c>
      <c r="D75" t="s">
        <v>29</v>
      </c>
      <c r="E75" t="s">
        <v>4</v>
      </c>
      <c r="F75" t="s">
        <v>30</v>
      </c>
      <c r="G75" s="1">
        <v>1450</v>
      </c>
      <c r="H75" t="s">
        <v>6</v>
      </c>
      <c r="I75" t="s">
        <v>11</v>
      </c>
      <c r="J75" s="7">
        <v>1211</v>
      </c>
    </row>
    <row r="76" spans="1:10" x14ac:dyDescent="0.3">
      <c r="A76" t="s">
        <v>102</v>
      </c>
      <c r="B76" s="2">
        <v>46029</v>
      </c>
      <c r="C76" t="s">
        <v>9</v>
      </c>
      <c r="D76" t="s">
        <v>25</v>
      </c>
      <c r="E76" t="s">
        <v>22</v>
      </c>
      <c r="F76" t="s">
        <v>27</v>
      </c>
      <c r="G76" s="1">
        <v>1932</v>
      </c>
      <c r="H76" t="s">
        <v>6</v>
      </c>
      <c r="I76" t="s">
        <v>11</v>
      </c>
      <c r="J76" s="7">
        <v>1670</v>
      </c>
    </row>
    <row r="77" spans="1:10" x14ac:dyDescent="0.3">
      <c r="A77" t="s">
        <v>103</v>
      </c>
      <c r="B77" s="2">
        <v>46040</v>
      </c>
      <c r="C77" t="s">
        <v>21</v>
      </c>
      <c r="D77" t="s">
        <v>29</v>
      </c>
      <c r="E77" t="s">
        <v>15</v>
      </c>
      <c r="F77" t="s">
        <v>30</v>
      </c>
      <c r="G77" s="1">
        <v>2827</v>
      </c>
      <c r="H77" t="s">
        <v>23</v>
      </c>
      <c r="I77" t="s">
        <v>11</v>
      </c>
      <c r="J77" s="7">
        <v>2188</v>
      </c>
    </row>
    <row r="78" spans="1:10" x14ac:dyDescent="0.3">
      <c r="A78" t="s">
        <v>104</v>
      </c>
      <c r="B78" s="2">
        <v>46160</v>
      </c>
      <c r="C78" t="s">
        <v>21</v>
      </c>
      <c r="D78" t="s">
        <v>3</v>
      </c>
      <c r="E78" t="s">
        <v>4</v>
      </c>
      <c r="F78" t="s">
        <v>5</v>
      </c>
      <c r="G78" s="1">
        <v>622</v>
      </c>
      <c r="H78" t="s">
        <v>6</v>
      </c>
      <c r="I78" t="s">
        <v>7</v>
      </c>
      <c r="J78" s="7">
        <v>496</v>
      </c>
    </row>
    <row r="79" spans="1:10" x14ac:dyDescent="0.3">
      <c r="A79" t="s">
        <v>105</v>
      </c>
      <c r="B79" s="2">
        <v>46171</v>
      </c>
      <c r="C79" t="s">
        <v>21</v>
      </c>
      <c r="D79" t="s">
        <v>3</v>
      </c>
      <c r="E79" t="s">
        <v>22</v>
      </c>
      <c r="F79" t="s">
        <v>5</v>
      </c>
      <c r="G79" s="1">
        <v>594</v>
      </c>
      <c r="H79" t="s">
        <v>23</v>
      </c>
      <c r="I79" t="s">
        <v>7</v>
      </c>
      <c r="J79" s="7">
        <v>636</v>
      </c>
    </row>
    <row r="80" spans="1:10" x14ac:dyDescent="0.3">
      <c r="A80" t="s">
        <v>106</v>
      </c>
      <c r="B80" s="2">
        <v>46103</v>
      </c>
      <c r="C80" t="s">
        <v>45</v>
      </c>
      <c r="D80" t="s">
        <v>17</v>
      </c>
      <c r="E80" t="s">
        <v>10</v>
      </c>
      <c r="F80" t="s">
        <v>19</v>
      </c>
      <c r="G80" s="1">
        <v>2694</v>
      </c>
      <c r="H80" t="s">
        <v>23</v>
      </c>
      <c r="I80" t="s">
        <v>11</v>
      </c>
      <c r="J80" s="7">
        <v>3290</v>
      </c>
    </row>
    <row r="81" spans="1:10" x14ac:dyDescent="0.3">
      <c r="A81" t="s">
        <v>107</v>
      </c>
      <c r="B81" s="2">
        <v>46071</v>
      </c>
      <c r="C81" t="s">
        <v>21</v>
      </c>
      <c r="D81" t="s">
        <v>3</v>
      </c>
      <c r="E81" t="s">
        <v>10</v>
      </c>
      <c r="F81" t="s">
        <v>5</v>
      </c>
      <c r="G81" s="1">
        <v>1936</v>
      </c>
      <c r="H81" t="s">
        <v>6</v>
      </c>
      <c r="I81" t="s">
        <v>11</v>
      </c>
      <c r="J81" s="7">
        <v>2412</v>
      </c>
    </row>
    <row r="82" spans="1:10" x14ac:dyDescent="0.3">
      <c r="A82" t="s">
        <v>108</v>
      </c>
      <c r="B82" s="2">
        <v>46160</v>
      </c>
      <c r="C82" t="s">
        <v>9</v>
      </c>
      <c r="D82" t="s">
        <v>34</v>
      </c>
      <c r="E82" t="s">
        <v>18</v>
      </c>
      <c r="F82" t="s">
        <v>35</v>
      </c>
      <c r="G82" s="1">
        <v>453</v>
      </c>
      <c r="H82" t="s">
        <v>6</v>
      </c>
      <c r="I82" t="s">
        <v>7</v>
      </c>
      <c r="J82" s="7">
        <v>530</v>
      </c>
    </row>
    <row r="83" spans="1:10" x14ac:dyDescent="0.3">
      <c r="A83" t="s">
        <v>109</v>
      </c>
      <c r="B83" s="2">
        <v>46040</v>
      </c>
      <c r="C83" t="s">
        <v>9</v>
      </c>
      <c r="D83" t="s">
        <v>29</v>
      </c>
      <c r="E83" t="s">
        <v>15</v>
      </c>
      <c r="F83" t="s">
        <v>30</v>
      </c>
      <c r="G83" s="1">
        <v>2752</v>
      </c>
      <c r="H83" t="s">
        <v>6</v>
      </c>
      <c r="I83" t="s">
        <v>11</v>
      </c>
      <c r="J83" s="7">
        <v>2430</v>
      </c>
    </row>
    <row r="84" spans="1:10" x14ac:dyDescent="0.3">
      <c r="A84" t="s">
        <v>110</v>
      </c>
      <c r="B84" s="2">
        <v>46054</v>
      </c>
      <c r="C84" t="s">
        <v>9</v>
      </c>
      <c r="D84" t="s">
        <v>29</v>
      </c>
      <c r="E84" t="s">
        <v>15</v>
      </c>
      <c r="F84" t="s">
        <v>30</v>
      </c>
      <c r="G84" s="1">
        <v>2277</v>
      </c>
      <c r="H84" t="s">
        <v>6</v>
      </c>
      <c r="I84" t="s">
        <v>11</v>
      </c>
      <c r="J84" s="7">
        <v>1821</v>
      </c>
    </row>
    <row r="85" spans="1:10" x14ac:dyDescent="0.3">
      <c r="A85" t="s">
        <v>111</v>
      </c>
      <c r="B85" s="2">
        <v>46127</v>
      </c>
      <c r="C85" t="s">
        <v>21</v>
      </c>
      <c r="D85" t="s">
        <v>15</v>
      </c>
      <c r="E85" t="s">
        <v>10</v>
      </c>
      <c r="F85" t="s">
        <v>37</v>
      </c>
      <c r="G85" s="1">
        <v>15923</v>
      </c>
      <c r="H85" t="s">
        <v>6</v>
      </c>
      <c r="I85" t="s">
        <v>7</v>
      </c>
      <c r="J85" s="7">
        <v>13313</v>
      </c>
    </row>
    <row r="86" spans="1:10" x14ac:dyDescent="0.3">
      <c r="A86" t="s">
        <v>112</v>
      </c>
      <c r="B86" s="2">
        <v>46055</v>
      </c>
      <c r="C86" t="s">
        <v>17</v>
      </c>
      <c r="D86" t="s">
        <v>15</v>
      </c>
      <c r="E86" t="s">
        <v>15</v>
      </c>
      <c r="F86" t="s">
        <v>37</v>
      </c>
      <c r="G86" s="1">
        <v>15394</v>
      </c>
      <c r="H86" t="s">
        <v>23</v>
      </c>
      <c r="I86" t="s">
        <v>11</v>
      </c>
      <c r="J86" s="7">
        <v>17364</v>
      </c>
    </row>
    <row r="87" spans="1:10" x14ac:dyDescent="0.3">
      <c r="A87" t="s">
        <v>113</v>
      </c>
      <c r="B87" s="2">
        <v>46067</v>
      </c>
      <c r="C87" t="s">
        <v>14</v>
      </c>
      <c r="D87" t="s">
        <v>17</v>
      </c>
      <c r="E87" t="s">
        <v>10</v>
      </c>
      <c r="F87" t="s">
        <v>19</v>
      </c>
      <c r="G87" s="1">
        <v>5730</v>
      </c>
      <c r="H87" t="s">
        <v>23</v>
      </c>
      <c r="I87" t="s">
        <v>11</v>
      </c>
      <c r="J87" s="7">
        <v>6506</v>
      </c>
    </row>
    <row r="88" spans="1:10" x14ac:dyDescent="0.3">
      <c r="A88" t="s">
        <v>114</v>
      </c>
      <c r="B88" s="2">
        <v>46023</v>
      </c>
      <c r="C88" t="s">
        <v>21</v>
      </c>
      <c r="D88" t="s">
        <v>29</v>
      </c>
      <c r="E88" t="s">
        <v>10</v>
      </c>
      <c r="F88" t="s">
        <v>30</v>
      </c>
      <c r="G88" s="1">
        <v>1060</v>
      </c>
      <c r="H88" t="s">
        <v>23</v>
      </c>
      <c r="I88" t="s">
        <v>11</v>
      </c>
      <c r="J88" s="7">
        <v>862</v>
      </c>
    </row>
    <row r="89" spans="1:10" x14ac:dyDescent="0.3">
      <c r="A89" t="s">
        <v>115</v>
      </c>
      <c r="B89" s="2">
        <v>46178</v>
      </c>
      <c r="C89" t="s">
        <v>9</v>
      </c>
      <c r="D89" t="s">
        <v>29</v>
      </c>
      <c r="E89" t="s">
        <v>18</v>
      </c>
      <c r="F89" t="s">
        <v>30</v>
      </c>
      <c r="G89" s="1">
        <v>2104</v>
      </c>
      <c r="H89" t="s">
        <v>23</v>
      </c>
      <c r="I89" t="s">
        <v>7</v>
      </c>
      <c r="J89" s="7">
        <v>2289</v>
      </c>
    </row>
    <row r="90" spans="1:10" x14ac:dyDescent="0.3">
      <c r="A90" t="s">
        <v>116</v>
      </c>
      <c r="B90" s="2">
        <v>46195</v>
      </c>
      <c r="C90" t="s">
        <v>17</v>
      </c>
      <c r="D90" t="s">
        <v>17</v>
      </c>
      <c r="E90" t="s">
        <v>15</v>
      </c>
      <c r="F90" t="s">
        <v>19</v>
      </c>
      <c r="G90" s="1">
        <v>8552</v>
      </c>
      <c r="H90" t="s">
        <v>6</v>
      </c>
      <c r="I90" t="s">
        <v>7</v>
      </c>
      <c r="J90" s="7">
        <v>10216</v>
      </c>
    </row>
    <row r="91" spans="1:10" x14ac:dyDescent="0.3">
      <c r="A91" t="s">
        <v>117</v>
      </c>
      <c r="B91" s="2">
        <v>46044</v>
      </c>
      <c r="C91" t="s">
        <v>21</v>
      </c>
      <c r="D91" t="s">
        <v>17</v>
      </c>
      <c r="E91" t="s">
        <v>4</v>
      </c>
      <c r="F91" t="s">
        <v>19</v>
      </c>
      <c r="G91" s="1">
        <v>31455</v>
      </c>
      <c r="H91" t="s">
        <v>6</v>
      </c>
      <c r="I91" t="s">
        <v>11</v>
      </c>
      <c r="J91" s="7">
        <v>28258</v>
      </c>
    </row>
    <row r="92" spans="1:10" x14ac:dyDescent="0.3">
      <c r="A92" t="s">
        <v>118</v>
      </c>
      <c r="B92" s="2">
        <v>46195</v>
      </c>
      <c r="C92" t="s">
        <v>21</v>
      </c>
      <c r="D92" t="s">
        <v>25</v>
      </c>
      <c r="E92" t="s">
        <v>26</v>
      </c>
      <c r="F92" t="s">
        <v>27</v>
      </c>
      <c r="G92" s="1">
        <v>1115</v>
      </c>
      <c r="H92" t="s">
        <v>6</v>
      </c>
      <c r="I92" t="s">
        <v>7</v>
      </c>
      <c r="J92" s="7">
        <v>1390</v>
      </c>
    </row>
    <row r="93" spans="1:10" x14ac:dyDescent="0.3">
      <c r="A93" t="s">
        <v>119</v>
      </c>
      <c r="B93" s="2">
        <v>46034</v>
      </c>
      <c r="C93" t="s">
        <v>17</v>
      </c>
      <c r="D93" t="s">
        <v>15</v>
      </c>
      <c r="E93" t="s">
        <v>18</v>
      </c>
      <c r="F93" t="s">
        <v>37</v>
      </c>
      <c r="G93" s="1">
        <v>14515</v>
      </c>
      <c r="H93" t="s">
        <v>6</v>
      </c>
      <c r="I93" t="s">
        <v>11</v>
      </c>
      <c r="J93" s="7">
        <v>12278</v>
      </c>
    </row>
    <row r="94" spans="1:10" x14ac:dyDescent="0.3">
      <c r="A94" t="s">
        <v>120</v>
      </c>
      <c r="B94" s="2">
        <v>46129</v>
      </c>
      <c r="C94" t="s">
        <v>9</v>
      </c>
      <c r="D94" t="s">
        <v>17</v>
      </c>
      <c r="E94" t="s">
        <v>18</v>
      </c>
      <c r="F94" t="s">
        <v>19</v>
      </c>
      <c r="G94" s="1">
        <v>3985</v>
      </c>
      <c r="H94" t="s">
        <v>23</v>
      </c>
      <c r="I94" t="s">
        <v>7</v>
      </c>
      <c r="J94" s="7">
        <v>4571</v>
      </c>
    </row>
    <row r="95" spans="1:10" x14ac:dyDescent="0.3">
      <c r="A95" t="s">
        <v>121</v>
      </c>
      <c r="B95" s="2">
        <v>46125</v>
      </c>
      <c r="C95" t="s">
        <v>17</v>
      </c>
      <c r="D95" t="s">
        <v>25</v>
      </c>
      <c r="E95" t="s">
        <v>18</v>
      </c>
      <c r="F95" t="s">
        <v>27</v>
      </c>
      <c r="G95" s="1">
        <v>322</v>
      </c>
      <c r="H95" t="s">
        <v>6</v>
      </c>
      <c r="I95" t="s">
        <v>7</v>
      </c>
      <c r="J95" s="7">
        <v>304</v>
      </c>
    </row>
    <row r="96" spans="1:10" x14ac:dyDescent="0.3">
      <c r="A96" t="s">
        <v>122</v>
      </c>
      <c r="B96" s="2">
        <v>46079</v>
      </c>
      <c r="C96" t="s">
        <v>17</v>
      </c>
      <c r="D96" t="s">
        <v>34</v>
      </c>
      <c r="E96" t="s">
        <v>26</v>
      </c>
      <c r="F96" t="s">
        <v>35</v>
      </c>
      <c r="G96" s="1">
        <v>1110</v>
      </c>
      <c r="H96" t="s">
        <v>23</v>
      </c>
      <c r="I96" t="s">
        <v>11</v>
      </c>
      <c r="J96" s="7">
        <v>1093</v>
      </c>
    </row>
    <row r="97" spans="1:10" x14ac:dyDescent="0.3">
      <c r="A97" t="s">
        <v>123</v>
      </c>
      <c r="B97" s="2">
        <v>46165</v>
      </c>
      <c r="C97" t="s">
        <v>17</v>
      </c>
      <c r="D97" t="s">
        <v>3</v>
      </c>
      <c r="E97" t="s">
        <v>18</v>
      </c>
      <c r="F97" t="s">
        <v>5</v>
      </c>
      <c r="G97" s="1">
        <v>2019</v>
      </c>
      <c r="H97" t="s">
        <v>6</v>
      </c>
      <c r="I97" t="s">
        <v>7</v>
      </c>
      <c r="J97" s="7">
        <v>2242</v>
      </c>
    </row>
    <row r="98" spans="1:10" x14ac:dyDescent="0.3">
      <c r="A98" t="s">
        <v>124</v>
      </c>
      <c r="B98" s="2">
        <v>46193</v>
      </c>
      <c r="C98" t="s">
        <v>14</v>
      </c>
      <c r="D98" t="s">
        <v>17</v>
      </c>
      <c r="E98" t="s">
        <v>10</v>
      </c>
      <c r="F98" t="s">
        <v>19</v>
      </c>
      <c r="G98" s="1">
        <v>5998</v>
      </c>
      <c r="H98" t="s">
        <v>23</v>
      </c>
      <c r="I98" t="s">
        <v>7</v>
      </c>
      <c r="J98" s="7">
        <v>7067</v>
      </c>
    </row>
    <row r="99" spans="1:10" x14ac:dyDescent="0.3">
      <c r="A99" t="s">
        <v>125</v>
      </c>
      <c r="B99" s="2">
        <v>46152</v>
      </c>
      <c r="C99" t="s">
        <v>45</v>
      </c>
      <c r="D99" t="s">
        <v>17</v>
      </c>
      <c r="E99" t="s">
        <v>15</v>
      </c>
      <c r="F99" t="s">
        <v>19</v>
      </c>
      <c r="G99" s="1">
        <v>8105</v>
      </c>
      <c r="H99" t="s">
        <v>6</v>
      </c>
      <c r="I99" t="s">
        <v>7</v>
      </c>
      <c r="J99" s="7">
        <v>7795</v>
      </c>
    </row>
    <row r="100" spans="1:10" x14ac:dyDescent="0.3">
      <c r="A100" t="s">
        <v>126</v>
      </c>
      <c r="B100" s="2">
        <v>46144</v>
      </c>
      <c r="C100" t="s">
        <v>45</v>
      </c>
      <c r="D100" t="s">
        <v>29</v>
      </c>
      <c r="E100" t="s">
        <v>10</v>
      </c>
      <c r="F100" t="s">
        <v>30</v>
      </c>
      <c r="G100" s="1">
        <v>1212</v>
      </c>
      <c r="H100" t="s">
        <v>6</v>
      </c>
      <c r="I100" t="s">
        <v>7</v>
      </c>
      <c r="J100" s="7">
        <v>1249</v>
      </c>
    </row>
  </sheetData>
  <conditionalFormatting sqref="A2:J100">
    <cfRule type="expression" dxfId="9" priority="1">
      <formula>LOWER($H2)="pending"</formula>
    </cfRule>
  </conditionalFormatting>
  <conditionalFormatting sqref="A2:J100">
    <cfRule type="expression" dxfId="6" priority="2">
      <formula>$G2&gt;AVERAGE($G$2:$G$100)+2*_xlfn.STDEV.S($G$2:$G$100)</formula>
    </cfRule>
  </conditionalFormatting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B7A7E-AB29-4722-899D-636DD69E7950}">
  <dimension ref="A1:E8"/>
  <sheetViews>
    <sheetView workbookViewId="0">
      <selection sqref="A1:E1"/>
    </sheetView>
  </sheetViews>
  <sheetFormatPr defaultRowHeight="14.4" x14ac:dyDescent="0.3"/>
  <cols>
    <col min="1" max="1" width="20.33203125" customWidth="1"/>
    <col min="2" max="5" width="17.5546875" customWidth="1"/>
  </cols>
  <sheetData>
    <row r="1" spans="1:5" ht="23.4" x14ac:dyDescent="0.45">
      <c r="A1" s="8" t="s">
        <v>146</v>
      </c>
      <c r="B1" s="8"/>
      <c r="C1" s="8"/>
      <c r="D1" s="8"/>
      <c r="E1" s="8"/>
    </row>
    <row r="2" spans="1:5" x14ac:dyDescent="0.3">
      <c r="A2" s="9" t="s">
        <v>147</v>
      </c>
      <c r="B2" s="9"/>
      <c r="C2" s="9"/>
      <c r="D2" s="9"/>
      <c r="E2" s="9"/>
    </row>
    <row r="4" spans="1:5" x14ac:dyDescent="0.3">
      <c r="A4" s="11" t="s">
        <v>127</v>
      </c>
      <c r="B4" s="11" t="s">
        <v>148</v>
      </c>
      <c r="C4" s="11" t="s">
        <v>134</v>
      </c>
      <c r="D4" s="11" t="s">
        <v>149</v>
      </c>
      <c r="E4" s="11" t="s">
        <v>130</v>
      </c>
    </row>
    <row r="5" spans="1:5" x14ac:dyDescent="0.3">
      <c r="A5" t="s">
        <v>15</v>
      </c>
      <c r="B5" s="7">
        <f>SUMIF(Transactions!$D$2:$D$100,A5,Transactions!$G$2:$G$100)</f>
        <v>238592</v>
      </c>
      <c r="C5" s="7">
        <f>SUMIF(Transactions!$D$2:$D$100,A5,Transactions!$J$2:$J$100)</f>
        <v>235891</v>
      </c>
      <c r="D5" s="7">
        <f>B5-C5</f>
        <v>2701</v>
      </c>
      <c r="E5" s="3">
        <f>IFERROR(D5/C5,0)</f>
        <v>1.1450203695774744E-2</v>
      </c>
    </row>
    <row r="6" spans="1:5" x14ac:dyDescent="0.3">
      <c r="A6" t="s">
        <v>29</v>
      </c>
      <c r="B6" s="7">
        <f>SUMIF(Transactions!$D$2:$D$100,A6,Transactions!$G$2:$G$100)</f>
        <v>33174</v>
      </c>
      <c r="C6" s="7">
        <f>SUMIF(Transactions!$D$2:$D$100,A6,Transactions!$J$2:$J$100)</f>
        <v>31902</v>
      </c>
      <c r="D6" s="7">
        <f t="shared" ref="D6:D8" si="0">B6-C6</f>
        <v>1272</v>
      </c>
      <c r="E6" s="3">
        <f t="shared" ref="E6:E8" si="1">IFERROR(D6/C6,0)</f>
        <v>3.9872108331766035E-2</v>
      </c>
    </row>
    <row r="7" spans="1:5" x14ac:dyDescent="0.3">
      <c r="A7" t="s">
        <v>34</v>
      </c>
      <c r="B7" s="7">
        <f>SUMIF(Transactions!$D$2:$D$100,A7,Transactions!$G$2:$G$100)</f>
        <v>13165</v>
      </c>
      <c r="C7" s="7">
        <f>SUMIF(Transactions!$D$2:$D$100,A7,Transactions!$J$2:$J$100)</f>
        <v>12592</v>
      </c>
      <c r="D7" s="7">
        <f t="shared" si="0"/>
        <v>573</v>
      </c>
      <c r="E7" s="3">
        <f t="shared" si="1"/>
        <v>4.5505082592121986E-2</v>
      </c>
    </row>
    <row r="8" spans="1:5" x14ac:dyDescent="0.3">
      <c r="A8" t="s">
        <v>25</v>
      </c>
      <c r="B8" s="7">
        <f>SUMIF(Transactions!$D$2:$D$100,A8,Transactions!$G$2:$G$100)</f>
        <v>19227</v>
      </c>
      <c r="C8" s="7">
        <f>SUMIF(Transactions!$D$2:$D$100,A8,Transactions!$J$2:$J$100)</f>
        <v>18863</v>
      </c>
      <c r="D8" s="7">
        <f t="shared" si="0"/>
        <v>364</v>
      </c>
      <c r="E8" s="3">
        <f t="shared" si="1"/>
        <v>1.9297036526533425E-2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4C5D8-D094-4AF0-B262-92ACC6422F3D}">
  <dimension ref="A1:H14"/>
  <sheetViews>
    <sheetView zoomScale="80" zoomScaleNormal="80" workbookViewId="0">
      <selection activeCell="J1" sqref="J1"/>
    </sheetView>
  </sheetViews>
  <sheetFormatPr defaultRowHeight="14.4" x14ac:dyDescent="0.3"/>
  <cols>
    <col min="1" max="2" width="15.77734375" customWidth="1"/>
    <col min="3" max="3" width="14.44140625" customWidth="1"/>
    <col min="4" max="4" width="13" customWidth="1"/>
  </cols>
  <sheetData>
    <row r="1" spans="1:8" ht="25.8" x14ac:dyDescent="0.5">
      <c r="A1" s="13" t="s">
        <v>150</v>
      </c>
      <c r="B1" s="13"/>
      <c r="C1" s="13"/>
      <c r="D1" s="13"/>
      <c r="E1" s="13"/>
      <c r="F1" s="13"/>
      <c r="G1" s="13"/>
      <c r="H1" s="13"/>
    </row>
    <row r="2" spans="1:8" x14ac:dyDescent="0.3">
      <c r="A2" s="9" t="s">
        <v>151</v>
      </c>
      <c r="B2" s="9"/>
      <c r="C2" s="9"/>
      <c r="D2" s="9"/>
      <c r="E2" s="9"/>
      <c r="F2" s="9"/>
      <c r="G2" s="9"/>
      <c r="H2" s="9"/>
    </row>
    <row r="4" spans="1:8" x14ac:dyDescent="0.3">
      <c r="A4" s="14" t="s">
        <v>0</v>
      </c>
      <c r="B4" s="14"/>
      <c r="C4" s="14" t="s">
        <v>152</v>
      </c>
      <c r="D4" s="14"/>
      <c r="E4" s="14" t="s">
        <v>153</v>
      </c>
      <c r="F4" s="14"/>
      <c r="G4" s="15" t="s">
        <v>154</v>
      </c>
      <c r="H4" s="15"/>
    </row>
    <row r="5" spans="1:8" ht="21" x14ac:dyDescent="0.4">
      <c r="A5" s="16">
        <f>SUM(B9:B14)</f>
        <v>443265</v>
      </c>
      <c r="B5" s="16"/>
      <c r="C5" s="16">
        <f>MAX(B9:B14)</f>
        <v>182489</v>
      </c>
      <c r="D5" s="16"/>
      <c r="E5" s="16">
        <f>AVERAGE(B9:B14)</f>
        <v>73877.5</v>
      </c>
      <c r="F5" s="16"/>
      <c r="G5" s="17">
        <f>IFERROR(B14/B9-1,0)</f>
        <v>-0.74198444837771049</v>
      </c>
      <c r="H5" s="17"/>
    </row>
    <row r="8" spans="1:8" x14ac:dyDescent="0.3">
      <c r="A8" s="19" t="s">
        <v>131</v>
      </c>
      <c r="B8" s="19" t="s">
        <v>132</v>
      </c>
      <c r="C8" s="19" t="s">
        <v>155</v>
      </c>
      <c r="D8" s="19" t="s">
        <v>156</v>
      </c>
    </row>
    <row r="9" spans="1:8" x14ac:dyDescent="0.3">
      <c r="A9" s="20">
        <v>46023</v>
      </c>
      <c r="B9" s="21">
        <f>SUMIFS(Transactions!$G$2:$G$100,Transactions!$B$2:$B$100,"&gt;="&amp;A9,Transactions!$B$2:$B$100,"&lt;"&amp;EDATE(A9,1))</f>
        <v>182489</v>
      </c>
      <c r="C9" s="22"/>
      <c r="D9" s="23" t="s">
        <v>157</v>
      </c>
    </row>
    <row r="10" spans="1:8" x14ac:dyDescent="0.3">
      <c r="A10" s="20">
        <v>46054</v>
      </c>
      <c r="B10" s="21">
        <f>SUMIFS(Transactions!$G$2:$G$100,Transactions!$B$2:$B$100,"&gt;="&amp;A10,Transactions!$B$2:$B$100,"&lt;"&amp;EDATE(A10,1))</f>
        <v>38138</v>
      </c>
      <c r="C10" s="22">
        <f>IFERROR(B10/B9-1,0)</f>
        <v>-0.79101206100093702</v>
      </c>
      <c r="D10" s="23" t="str">
        <f>IF(C10&gt;0,"Growth",IF(C10&lt;0,"Decline","Flat"))</f>
        <v>Decline</v>
      </c>
    </row>
    <row r="11" spans="1:8" x14ac:dyDescent="0.3">
      <c r="A11" s="20">
        <v>46082</v>
      </c>
      <c r="B11" s="21">
        <f>SUMIFS(Transactions!$G$2:$G$100,Transactions!$B$2:$B$100,"&gt;="&amp;A11,Transactions!$B$2:$B$100,"&lt;"&amp;EDATE(A11,1))</f>
        <v>62419</v>
      </c>
      <c r="C11" s="22">
        <f t="shared" ref="C11:C14" si="0">IFERROR(B11/B10-1,0)</f>
        <v>0.6366615973569667</v>
      </c>
      <c r="D11" s="23" t="str">
        <f t="shared" ref="D11:D14" si="1">IF(C11&gt;0,"Growth",IF(C11&lt;0,"Decline","Flat"))</f>
        <v>Growth</v>
      </c>
    </row>
    <row r="12" spans="1:8" x14ac:dyDescent="0.3">
      <c r="A12" s="20">
        <v>46113</v>
      </c>
      <c r="B12" s="21">
        <f>SUMIFS(Transactions!$G$2:$G$100,Transactions!$B$2:$B$100,"&gt;="&amp;A12,Transactions!$B$2:$B$100,"&lt;"&amp;EDATE(A12,1))</f>
        <v>61049</v>
      </c>
      <c r="C12" s="22">
        <f t="shared" si="0"/>
        <v>-2.1948445184959753E-2</v>
      </c>
      <c r="D12" s="23" t="str">
        <f t="shared" si="1"/>
        <v>Decline</v>
      </c>
    </row>
    <row r="13" spans="1:8" x14ac:dyDescent="0.3">
      <c r="A13" s="20">
        <v>46143</v>
      </c>
      <c r="B13" s="21">
        <f>SUMIFS(Transactions!$G$2:$G$100,Transactions!$B$2:$B$100,"&gt;="&amp;A13,Transactions!$B$2:$B$100,"&lt;"&amp;EDATE(A13,1))</f>
        <v>52085</v>
      </c>
      <c r="C13" s="22">
        <f t="shared" si="0"/>
        <v>-0.14683287195531458</v>
      </c>
      <c r="D13" s="23" t="str">
        <f t="shared" si="1"/>
        <v>Decline</v>
      </c>
    </row>
    <row r="14" spans="1:8" x14ac:dyDescent="0.3">
      <c r="A14" s="24">
        <v>46174</v>
      </c>
      <c r="B14" s="25">
        <f>SUMIFS(Transactions!$G$2:$G$100,Transactions!$B$2:$B$100,"&gt;="&amp;A14,Transactions!$B$2:$B$100,"&lt;"&amp;EDATE(A14,1))</f>
        <v>47085</v>
      </c>
      <c r="C14" s="26">
        <f t="shared" si="0"/>
        <v>-9.5996928098300849E-2</v>
      </c>
      <c r="D14" s="27" t="str">
        <f t="shared" si="1"/>
        <v>Decline</v>
      </c>
    </row>
  </sheetData>
  <mergeCells count="10">
    <mergeCell ref="A5:B5"/>
    <mergeCell ref="C5:D5"/>
    <mergeCell ref="E5:F5"/>
    <mergeCell ref="G5:H5"/>
    <mergeCell ref="A1:H1"/>
    <mergeCell ref="A2:H2"/>
    <mergeCell ref="A4:B4"/>
    <mergeCell ref="C4:D4"/>
    <mergeCell ref="E4:F4"/>
    <mergeCell ref="G4:H4"/>
  </mergeCells>
  <conditionalFormatting sqref="C10:C14">
    <cfRule type="cellIs" dxfId="8" priority="1" operator="greaterThan">
      <formula>0</formula>
    </cfRule>
  </conditionalFormatting>
  <conditionalFormatting sqref="C10:C14">
    <cfRule type="cellIs" dxfId="7" priority="2" operator="lessThan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08A2A-E404-4945-83C9-9E132DD0B728}">
  <dimension ref="A1:D14"/>
  <sheetViews>
    <sheetView workbookViewId="0">
      <selection sqref="A1:D1"/>
    </sheetView>
  </sheetViews>
  <sheetFormatPr defaultRowHeight="14.4" x14ac:dyDescent="0.3"/>
  <cols>
    <col min="1" max="1" width="10" bestFit="1" customWidth="1"/>
    <col min="2" max="2" width="18.5546875" bestFit="1" customWidth="1"/>
    <col min="3" max="3" width="19.44140625" bestFit="1" customWidth="1"/>
  </cols>
  <sheetData>
    <row r="1" spans="1:4" ht="23.4" x14ac:dyDescent="0.45">
      <c r="A1" s="8" t="s">
        <v>158</v>
      </c>
      <c r="B1" s="8"/>
      <c r="C1" s="8"/>
      <c r="D1" s="8"/>
    </row>
    <row r="2" spans="1:4" x14ac:dyDescent="0.3">
      <c r="A2" s="9" t="s">
        <v>159</v>
      </c>
      <c r="B2" s="9"/>
      <c r="C2" s="9"/>
      <c r="D2" s="9"/>
    </row>
    <row r="4" spans="1:4" x14ac:dyDescent="0.3">
      <c r="A4" s="14" t="s">
        <v>160</v>
      </c>
      <c r="B4" s="14"/>
      <c r="C4" s="14" t="s">
        <v>161</v>
      </c>
      <c r="D4" s="14"/>
    </row>
    <row r="5" spans="1:4" ht="21" x14ac:dyDescent="0.4">
      <c r="A5" s="16">
        <f>SUMIF(Transactions!$H$2:$H$100,"Pending",Transactions!$G$2:$G$100)</f>
        <v>158674</v>
      </c>
      <c r="B5" s="16"/>
      <c r="C5" s="28">
        <f>COUNTIF(Transactions!$H$2:$H$100,"Pending")</f>
        <v>26</v>
      </c>
      <c r="D5" s="28"/>
    </row>
    <row r="8" spans="1:4" x14ac:dyDescent="0.3">
      <c r="A8" s="18" t="s">
        <v>135</v>
      </c>
      <c r="B8" s="18" t="s">
        <v>162</v>
      </c>
      <c r="C8" s="18" t="s">
        <v>161</v>
      </c>
    </row>
    <row r="9" spans="1:4" x14ac:dyDescent="0.3">
      <c r="A9" t="s">
        <v>26</v>
      </c>
      <c r="B9" s="7">
        <f>SUMIFS(Transactions!$G$2:$G$100,Transactions!$E$2:$E$100,A9,Transactions!$H$2:$H$100,"Pending")</f>
        <v>10478</v>
      </c>
      <c r="C9">
        <f>COUNTIFS(Transactions!$E$2:$E$100,A9,Transactions!$H$2:$H$100,"Pending")</f>
        <v>4</v>
      </c>
    </row>
    <row r="10" spans="1:4" x14ac:dyDescent="0.3">
      <c r="A10" t="s">
        <v>10</v>
      </c>
      <c r="B10" s="7">
        <f>SUMIFS(Transactions!$G$2:$G$100,Transactions!$E$2:$E$100,A10,Transactions!$H$2:$H$100,"Pending")</f>
        <v>91160</v>
      </c>
      <c r="C10">
        <f>COUNTIFS(Transactions!$E$2:$E$100,A10,Transactions!$H$2:$H$100,"Pending")</f>
        <v>8</v>
      </c>
    </row>
    <row r="11" spans="1:4" x14ac:dyDescent="0.3">
      <c r="A11" t="s">
        <v>4</v>
      </c>
      <c r="B11" s="7">
        <f>SUMIFS(Transactions!$G$2:$G$100,Transactions!$E$2:$E$100,A11,Transactions!$H$2:$H$100,"Pending")</f>
        <v>7163</v>
      </c>
      <c r="C11">
        <f>COUNTIFS(Transactions!$E$2:$E$100,A11,Transactions!$H$2:$H$100,"Pending")</f>
        <v>3</v>
      </c>
    </row>
    <row r="12" spans="1:4" x14ac:dyDescent="0.3">
      <c r="A12" t="s">
        <v>22</v>
      </c>
      <c r="B12" s="7">
        <f>SUMIFS(Transactions!$G$2:$G$100,Transactions!$E$2:$E$100,A12,Transactions!$H$2:$H$100,"Pending")</f>
        <v>2061</v>
      </c>
      <c r="C12">
        <f>COUNTIFS(Transactions!$E$2:$E$100,A12,Transactions!$H$2:$H$100,"Pending")</f>
        <v>3</v>
      </c>
    </row>
    <row r="13" spans="1:4" x14ac:dyDescent="0.3">
      <c r="A13" t="s">
        <v>15</v>
      </c>
      <c r="B13" s="7">
        <f>SUMIFS(Transactions!$G$2:$G$100,Transactions!$E$2:$E$100,A13,Transactions!$H$2:$H$100,"Pending")</f>
        <v>40653</v>
      </c>
      <c r="C13">
        <f>COUNTIFS(Transactions!$E$2:$E$100,A13,Transactions!$H$2:$H$100,"Pending")</f>
        <v>5</v>
      </c>
    </row>
    <row r="14" spans="1:4" x14ac:dyDescent="0.3">
      <c r="A14" t="s">
        <v>18</v>
      </c>
      <c r="B14" s="7">
        <f>SUMIFS(Transactions!$G$2:$G$100,Transactions!$E$2:$E$100,A14,Transactions!$H$2:$H$100,"Pending")</f>
        <v>7159</v>
      </c>
      <c r="C14">
        <f>COUNTIFS(Transactions!$E$2:$E$100,A14,Transactions!$H$2:$H$100,"Pending")</f>
        <v>3</v>
      </c>
    </row>
  </sheetData>
  <mergeCells count="6">
    <mergeCell ref="A1:D1"/>
    <mergeCell ref="A2:D2"/>
    <mergeCell ref="A4:B4"/>
    <mergeCell ref="C4:D4"/>
    <mergeCell ref="A5:B5"/>
    <mergeCell ref="C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35AB3-B3C7-4732-8FC7-611FE1E09D41}">
  <dimension ref="A1:H13"/>
  <sheetViews>
    <sheetView zoomScale="80" zoomScaleNormal="80" workbookViewId="0">
      <selection sqref="A1:H1"/>
    </sheetView>
  </sheetViews>
  <sheetFormatPr defaultRowHeight="14.4" x14ac:dyDescent="0.3"/>
  <cols>
    <col min="1" max="1" width="15.77734375" customWidth="1"/>
    <col min="2" max="5" width="20.33203125" customWidth="1"/>
  </cols>
  <sheetData>
    <row r="1" spans="1:8" ht="25.8" x14ac:dyDescent="0.5">
      <c r="A1" s="13" t="s">
        <v>163</v>
      </c>
      <c r="B1" s="13"/>
      <c r="C1" s="13"/>
      <c r="D1" s="13"/>
      <c r="E1" s="13"/>
      <c r="F1" s="13"/>
      <c r="G1" s="13"/>
      <c r="H1" s="13"/>
    </row>
    <row r="2" spans="1:8" x14ac:dyDescent="0.3">
      <c r="A2" s="9" t="s">
        <v>164</v>
      </c>
      <c r="B2" s="9"/>
      <c r="C2" s="9"/>
      <c r="D2" s="9"/>
      <c r="E2" s="9"/>
      <c r="F2" s="9"/>
      <c r="G2" s="9"/>
      <c r="H2" s="9"/>
    </row>
    <row r="4" spans="1:8" x14ac:dyDescent="0.3">
      <c r="A4" s="14" t="s">
        <v>165</v>
      </c>
      <c r="B4" s="14"/>
      <c r="C4" s="14" t="s">
        <v>166</v>
      </c>
      <c r="D4" s="14"/>
      <c r="E4" s="14" t="s">
        <v>167</v>
      </c>
      <c r="F4" s="14"/>
      <c r="G4" s="15" t="s">
        <v>168</v>
      </c>
      <c r="H4" s="15"/>
    </row>
    <row r="5" spans="1:8" ht="21" x14ac:dyDescent="0.4">
      <c r="A5" s="16" t="e">
        <f>SUM(B8:B13)</f>
        <v>#REF!</v>
      </c>
      <c r="B5" s="16"/>
      <c r="C5" s="16" t="e">
        <f>SUM(C8:C13)</f>
        <v>#REF!</v>
      </c>
      <c r="D5" s="16"/>
      <c r="E5" s="16" t="e">
        <f>SUM(D8:D13)</f>
        <v>#REF!</v>
      </c>
      <c r="F5" s="16"/>
      <c r="G5" s="16" t="e">
        <f>E13</f>
        <v>#REF!</v>
      </c>
      <c r="H5" s="16"/>
    </row>
    <row r="7" spans="1:8" x14ac:dyDescent="0.3">
      <c r="A7" s="19" t="s">
        <v>131</v>
      </c>
      <c r="B7" s="19" t="s">
        <v>169</v>
      </c>
      <c r="C7" s="19" t="s">
        <v>170</v>
      </c>
      <c r="D7" s="19" t="s">
        <v>167</v>
      </c>
      <c r="E7" s="19" t="s">
        <v>171</v>
      </c>
    </row>
    <row r="8" spans="1:8" x14ac:dyDescent="0.3">
      <c r="A8" s="20">
        <v>46023</v>
      </c>
      <c r="B8" s="21" t="e">
        <f>SUMIFS(Transactions!$G$2:$G$100,Transactions!$B$2:$B$100,"&gt;="&amp;A8,Transactions!$B$2:$B$100,"&lt;"&amp;EDATE(A8,1),Transactions!#REF!,"Inflow")</f>
        <v>#REF!</v>
      </c>
      <c r="C8" s="21" t="e">
        <f>SUMIFS(Transactions!$G$2:$G$100,Transactions!$B$2:$B$100,"&gt;="&amp;A8,Transactions!$B$2:$B$100,"&lt;"&amp;EDATE(A8,1),Transactions!#REF!,"Outflow")</f>
        <v>#REF!</v>
      </c>
      <c r="D8" s="21" t="e">
        <f>B8-C8</f>
        <v>#REF!</v>
      </c>
      <c r="E8" s="21" t="e">
        <f>D8</f>
        <v>#REF!</v>
      </c>
    </row>
    <row r="9" spans="1:8" x14ac:dyDescent="0.3">
      <c r="A9" s="20">
        <v>46054</v>
      </c>
      <c r="B9" s="21" t="e">
        <f>SUMIFS(Transactions!$G$2:$G$100,Transactions!$B$2:$B$100,"&gt;="&amp;A9,Transactions!$B$2:$B$100,"&lt;"&amp;EDATE(A9,1),Transactions!#REF!,"Inflow")</f>
        <v>#REF!</v>
      </c>
      <c r="C9" s="21" t="e">
        <f>SUMIFS(Transactions!$G$2:$G$100,Transactions!$B$2:$B$100,"&gt;="&amp;A9,Transactions!$B$2:$B$100,"&lt;"&amp;EDATE(A9,1),Transactions!#REF!,"Outflow")</f>
        <v>#REF!</v>
      </c>
      <c r="D9" s="21" t="e">
        <f t="shared" ref="D9:D13" si="0">B9-C9</f>
        <v>#REF!</v>
      </c>
      <c r="E9" s="21" t="e">
        <f>E8+D9</f>
        <v>#REF!</v>
      </c>
    </row>
    <row r="10" spans="1:8" x14ac:dyDescent="0.3">
      <c r="A10" s="20">
        <v>46082</v>
      </c>
      <c r="B10" s="21" t="e">
        <f>SUMIFS(Transactions!$G$2:$G$100,Transactions!$B$2:$B$100,"&gt;="&amp;A10,Transactions!$B$2:$B$100,"&lt;"&amp;EDATE(A10,1),Transactions!#REF!,"Inflow")</f>
        <v>#REF!</v>
      </c>
      <c r="C10" s="21" t="e">
        <f>SUMIFS(Transactions!$G$2:$G$100,Transactions!$B$2:$B$100,"&gt;="&amp;A10,Transactions!$B$2:$B$100,"&lt;"&amp;EDATE(A10,1),Transactions!#REF!,"Outflow")</f>
        <v>#REF!</v>
      </c>
      <c r="D10" s="21" t="e">
        <f t="shared" si="0"/>
        <v>#REF!</v>
      </c>
      <c r="E10" s="21" t="e">
        <f t="shared" ref="E10:E13" si="1">E9+D10</f>
        <v>#REF!</v>
      </c>
    </row>
    <row r="11" spans="1:8" x14ac:dyDescent="0.3">
      <c r="A11" s="20">
        <v>46113</v>
      </c>
      <c r="B11" s="21" t="e">
        <f>SUMIFS(Transactions!$G$2:$G$100,Transactions!$B$2:$B$100,"&gt;="&amp;A11,Transactions!$B$2:$B$100,"&lt;"&amp;EDATE(A11,1),Transactions!#REF!,"Inflow")</f>
        <v>#REF!</v>
      </c>
      <c r="C11" s="21" t="e">
        <f>SUMIFS(Transactions!$G$2:$G$100,Transactions!$B$2:$B$100,"&gt;="&amp;A11,Transactions!$B$2:$B$100,"&lt;"&amp;EDATE(A11,1),Transactions!#REF!,"Outflow")</f>
        <v>#REF!</v>
      </c>
      <c r="D11" s="21" t="e">
        <f t="shared" si="0"/>
        <v>#REF!</v>
      </c>
      <c r="E11" s="21" t="e">
        <f t="shared" si="1"/>
        <v>#REF!</v>
      </c>
    </row>
    <row r="12" spans="1:8" x14ac:dyDescent="0.3">
      <c r="A12" s="20">
        <v>46143</v>
      </c>
      <c r="B12" s="21" t="e">
        <f>SUMIFS(Transactions!$G$2:$G$100,Transactions!$B$2:$B$100,"&gt;="&amp;A12,Transactions!$B$2:$B$100,"&lt;"&amp;EDATE(A12,1),Transactions!#REF!,"Inflow")</f>
        <v>#REF!</v>
      </c>
      <c r="C12" s="21" t="e">
        <f>SUMIFS(Transactions!$G$2:$G$100,Transactions!$B$2:$B$100,"&gt;="&amp;A12,Transactions!$B$2:$B$100,"&lt;"&amp;EDATE(A12,1),Transactions!#REF!,"Outflow")</f>
        <v>#REF!</v>
      </c>
      <c r="D12" s="21" t="e">
        <f t="shared" si="0"/>
        <v>#REF!</v>
      </c>
      <c r="E12" s="21" t="e">
        <f t="shared" si="1"/>
        <v>#REF!</v>
      </c>
    </row>
    <row r="13" spans="1:8" x14ac:dyDescent="0.3">
      <c r="A13" s="24">
        <v>46174</v>
      </c>
      <c r="B13" s="25" t="e">
        <f>SUMIFS(Transactions!$G$2:$G$100,Transactions!$B$2:$B$100,"&gt;="&amp;A13,Transactions!$B$2:$B$100,"&lt;"&amp;EDATE(A13,1),Transactions!#REF!,"Inflow")</f>
        <v>#REF!</v>
      </c>
      <c r="C13" s="25" t="e">
        <f>SUMIFS(Transactions!$G$2:$G$100,Transactions!$B$2:$B$100,"&gt;="&amp;A13,Transactions!$B$2:$B$100,"&lt;"&amp;EDATE(A13,1),Transactions!#REF!,"Outflow")</f>
        <v>#REF!</v>
      </c>
      <c r="D13" s="25" t="e">
        <f t="shared" si="0"/>
        <v>#REF!</v>
      </c>
      <c r="E13" s="25" t="e">
        <f t="shared" si="1"/>
        <v>#REF!</v>
      </c>
    </row>
  </sheetData>
  <mergeCells count="10">
    <mergeCell ref="A5:B5"/>
    <mergeCell ref="C5:D5"/>
    <mergeCell ref="E5:F5"/>
    <mergeCell ref="G5:H5"/>
    <mergeCell ref="A1:H1"/>
    <mergeCell ref="A2:H2"/>
    <mergeCell ref="A4:B4"/>
    <mergeCell ref="C4:D4"/>
    <mergeCell ref="E4:F4"/>
    <mergeCell ref="G4:H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F333D-CD0B-4E78-9FDD-1B363CB618A1}">
  <dimension ref="A1:F20"/>
  <sheetViews>
    <sheetView workbookViewId="0">
      <selection sqref="A1:F1"/>
    </sheetView>
  </sheetViews>
  <sheetFormatPr defaultRowHeight="14.4" x14ac:dyDescent="0.3"/>
  <cols>
    <col min="1" max="1" width="9" bestFit="1" customWidth="1"/>
    <col min="2" max="2" width="14.21875" bestFit="1" customWidth="1"/>
    <col min="3" max="3" width="15.88671875" bestFit="1" customWidth="1"/>
    <col min="4" max="4" width="8.6640625" bestFit="1" customWidth="1"/>
    <col min="6" max="6" width="3" bestFit="1" customWidth="1"/>
  </cols>
  <sheetData>
    <row r="1" spans="1:6" ht="25.8" x14ac:dyDescent="0.5">
      <c r="A1" s="13" t="s">
        <v>172</v>
      </c>
      <c r="B1" s="13"/>
      <c r="C1" s="13"/>
      <c r="D1" s="13"/>
      <c r="E1" s="13"/>
      <c r="F1" s="13"/>
    </row>
    <row r="2" spans="1:6" x14ac:dyDescent="0.3">
      <c r="A2" s="32" t="s">
        <v>173</v>
      </c>
      <c r="B2" s="32"/>
      <c r="C2" s="32"/>
      <c r="D2" s="32"/>
      <c r="E2" s="32"/>
      <c r="F2" s="32"/>
    </row>
    <row r="4" spans="1:6" x14ac:dyDescent="0.3">
      <c r="A4" s="14" t="s">
        <v>174</v>
      </c>
      <c r="B4" s="14"/>
      <c r="C4" s="14" t="s">
        <v>175</v>
      </c>
      <c r="D4" s="14"/>
      <c r="E4" s="14" t="s">
        <v>176</v>
      </c>
      <c r="F4" s="14"/>
    </row>
    <row r="5" spans="1:6" ht="21" x14ac:dyDescent="0.4">
      <c r="A5" s="16">
        <f>SUM(B9:B14)</f>
        <v>443265</v>
      </c>
      <c r="B5" s="16"/>
      <c r="C5" s="16">
        <f>SUM(C15:C20)</f>
        <v>10222.600000000006</v>
      </c>
      <c r="D5" s="16"/>
      <c r="E5" s="17">
        <f>C5/A5-1</f>
        <v>-0.9769379490823773</v>
      </c>
      <c r="F5" s="17"/>
    </row>
    <row r="8" spans="1:6" x14ac:dyDescent="0.3">
      <c r="A8" s="18" t="s">
        <v>131</v>
      </c>
      <c r="B8" s="18" t="s">
        <v>177</v>
      </c>
      <c r="C8" s="18" t="s">
        <v>175</v>
      </c>
      <c r="D8" s="18" t="s">
        <v>178</v>
      </c>
    </row>
    <row r="9" spans="1:6" x14ac:dyDescent="0.3">
      <c r="A9" s="12">
        <f>'Monthly Revenue'!A9</f>
        <v>46023</v>
      </c>
      <c r="B9" s="7">
        <f>'Monthly Revenue'!B9</f>
        <v>182489</v>
      </c>
      <c r="C9" s="7"/>
      <c r="D9" t="s">
        <v>179</v>
      </c>
      <c r="F9">
        <v>1</v>
      </c>
    </row>
    <row r="10" spans="1:6" x14ac:dyDescent="0.3">
      <c r="A10" s="12">
        <f>'Monthly Revenue'!A10</f>
        <v>46054</v>
      </c>
      <c r="B10" s="7">
        <f>'Monthly Revenue'!B10</f>
        <v>38138</v>
      </c>
      <c r="C10" s="7"/>
      <c r="D10" t="s">
        <v>179</v>
      </c>
      <c r="F10">
        <v>2</v>
      </c>
    </row>
    <row r="11" spans="1:6" x14ac:dyDescent="0.3">
      <c r="A11" s="12">
        <f>'Monthly Revenue'!A11</f>
        <v>46082</v>
      </c>
      <c r="B11" s="7">
        <f>'Monthly Revenue'!B11</f>
        <v>62419</v>
      </c>
      <c r="C11" s="7"/>
      <c r="D11" t="s">
        <v>179</v>
      </c>
      <c r="F11">
        <v>3</v>
      </c>
    </row>
    <row r="12" spans="1:6" x14ac:dyDescent="0.3">
      <c r="A12" s="12">
        <f>'Monthly Revenue'!A12</f>
        <v>46113</v>
      </c>
      <c r="B12" s="7">
        <f>'Monthly Revenue'!B12</f>
        <v>61049</v>
      </c>
      <c r="C12" s="7"/>
      <c r="D12" t="s">
        <v>179</v>
      </c>
      <c r="F12">
        <v>4</v>
      </c>
    </row>
    <row r="13" spans="1:6" x14ac:dyDescent="0.3">
      <c r="A13" s="12">
        <f>'Monthly Revenue'!A13</f>
        <v>46143</v>
      </c>
      <c r="B13" s="7">
        <f>'Monthly Revenue'!B13</f>
        <v>52085</v>
      </c>
      <c r="C13" s="7"/>
      <c r="D13" t="s">
        <v>179</v>
      </c>
      <c r="F13">
        <v>5</v>
      </c>
    </row>
    <row r="14" spans="1:6" x14ac:dyDescent="0.3">
      <c r="A14" s="12">
        <f>'Monthly Revenue'!A14</f>
        <v>46174</v>
      </c>
      <c r="B14" s="7">
        <f>'Monthly Revenue'!B14</f>
        <v>47085</v>
      </c>
      <c r="C14" s="7"/>
      <c r="D14" t="s">
        <v>179</v>
      </c>
      <c r="F14">
        <v>6</v>
      </c>
    </row>
    <row r="15" spans="1:6" x14ac:dyDescent="0.3">
      <c r="A15" s="29">
        <f>EDATE(A14,1)</f>
        <v>46204</v>
      </c>
      <c r="B15" s="30"/>
      <c r="C15" s="30">
        <f>MAX(0,_xlfn.FORECAST.LINEAR(F15,$B$9:$B$14,$F$9:$F$14))</f>
        <v>10222.600000000006</v>
      </c>
      <c r="D15" s="31" t="s">
        <v>180</v>
      </c>
      <c r="F15">
        <v>7</v>
      </c>
    </row>
    <row r="16" spans="1:6" x14ac:dyDescent="0.3">
      <c r="A16" s="29">
        <f t="shared" ref="A16:A20" si="0">EDATE(A15,1)</f>
        <v>46235</v>
      </c>
      <c r="B16" s="30"/>
      <c r="C16" s="30">
        <f t="shared" ref="C16:C20" si="1">MAX(0,_xlfn.FORECAST.LINEAR(F16,$B$9:$B$14,$F$9:$F$14))</f>
        <v>0</v>
      </c>
      <c r="D16" s="31" t="s">
        <v>180</v>
      </c>
      <c r="F16">
        <v>8</v>
      </c>
    </row>
    <row r="17" spans="1:6" x14ac:dyDescent="0.3">
      <c r="A17" s="29">
        <f t="shared" si="0"/>
        <v>46266</v>
      </c>
      <c r="B17" s="30"/>
      <c r="C17" s="30">
        <f t="shared" si="1"/>
        <v>0</v>
      </c>
      <c r="D17" s="31" t="s">
        <v>180</v>
      </c>
      <c r="F17">
        <v>9</v>
      </c>
    </row>
    <row r="18" spans="1:6" x14ac:dyDescent="0.3">
      <c r="A18" s="29">
        <f t="shared" si="0"/>
        <v>46296</v>
      </c>
      <c r="B18" s="30"/>
      <c r="C18" s="30">
        <f t="shared" si="1"/>
        <v>0</v>
      </c>
      <c r="D18" s="31" t="s">
        <v>180</v>
      </c>
      <c r="F18">
        <v>10</v>
      </c>
    </row>
    <row r="19" spans="1:6" x14ac:dyDescent="0.3">
      <c r="A19" s="29">
        <f t="shared" si="0"/>
        <v>46327</v>
      </c>
      <c r="B19" s="30"/>
      <c r="C19" s="30">
        <f t="shared" si="1"/>
        <v>0</v>
      </c>
      <c r="D19" s="31" t="s">
        <v>180</v>
      </c>
      <c r="F19">
        <v>11</v>
      </c>
    </row>
    <row r="20" spans="1:6" x14ac:dyDescent="0.3">
      <c r="A20" s="29">
        <f t="shared" si="0"/>
        <v>46357</v>
      </c>
      <c r="B20" s="30"/>
      <c r="C20" s="30">
        <f t="shared" si="1"/>
        <v>0</v>
      </c>
      <c r="D20" s="31" t="s">
        <v>180</v>
      </c>
      <c r="F20">
        <v>12</v>
      </c>
    </row>
  </sheetData>
  <mergeCells count="7">
    <mergeCell ref="A1:F1"/>
    <mergeCell ref="A4:B4"/>
    <mergeCell ref="C4:D4"/>
    <mergeCell ref="E4:F4"/>
    <mergeCell ref="A5:B5"/>
    <mergeCell ref="C5:D5"/>
    <mergeCell ref="E5:F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DD195-4C19-4505-A193-651451E34023}">
  <dimension ref="A1:H10"/>
  <sheetViews>
    <sheetView workbookViewId="0">
      <selection sqref="A1:H1"/>
    </sheetView>
  </sheetViews>
  <sheetFormatPr defaultRowHeight="14.4" x14ac:dyDescent="0.3"/>
  <cols>
    <col min="1" max="1" width="18.5546875" customWidth="1"/>
    <col min="2" max="2" width="11" bestFit="1" customWidth="1"/>
    <col min="3" max="5" width="17.5546875" customWidth="1"/>
    <col min="6" max="6" width="10" bestFit="1" customWidth="1"/>
    <col min="7" max="7" width="7.33203125" bestFit="1" customWidth="1"/>
    <col min="8" max="8" width="15.33203125" bestFit="1" customWidth="1"/>
  </cols>
  <sheetData>
    <row r="1" spans="1:8" ht="25.8" x14ac:dyDescent="0.5">
      <c r="A1" s="13" t="s">
        <v>181</v>
      </c>
      <c r="B1" s="13"/>
      <c r="C1" s="13"/>
      <c r="D1" s="13"/>
      <c r="E1" s="13"/>
      <c r="F1" s="13"/>
      <c r="G1" s="13"/>
      <c r="H1" s="13"/>
    </row>
    <row r="2" spans="1:8" x14ac:dyDescent="0.3">
      <c r="A2" s="9" t="s">
        <v>182</v>
      </c>
      <c r="B2" s="9"/>
      <c r="C2" s="9"/>
      <c r="D2" s="9"/>
      <c r="E2" s="9"/>
      <c r="F2" s="9"/>
      <c r="G2" s="9"/>
      <c r="H2" s="9"/>
    </row>
    <row r="4" spans="1:8" x14ac:dyDescent="0.3">
      <c r="A4" s="14" t="s">
        <v>183</v>
      </c>
      <c r="B4" s="14"/>
      <c r="C4" s="14" t="s">
        <v>184</v>
      </c>
      <c r="D4" s="14"/>
      <c r="E4" s="14" t="s">
        <v>185</v>
      </c>
      <c r="F4" s="14"/>
      <c r="G4" s="15" t="s">
        <v>186</v>
      </c>
      <c r="H4" s="15"/>
    </row>
    <row r="5" spans="1:8" ht="19.8" x14ac:dyDescent="0.4">
      <c r="A5" s="34">
        <f>AVERAGE(Transactions!$G$2:$G$100)</f>
        <v>4477.424242424242</v>
      </c>
      <c r="B5" s="34"/>
      <c r="C5" s="34">
        <f>_xlfn.STDEV.S(Transactions!$G$2:$G$100)</f>
        <v>8334.1731395635543</v>
      </c>
      <c r="D5" s="34"/>
      <c r="E5" s="34">
        <f>A5+2*C5</f>
        <v>21145.770521551349</v>
      </c>
      <c r="F5" s="34"/>
      <c r="G5" s="35">
        <f>COUNTIF(Transactions!$G$2:$G$100,"&gt;"&amp;E5)</f>
        <v>2</v>
      </c>
      <c r="H5" s="35"/>
    </row>
    <row r="8" spans="1:8" x14ac:dyDescent="0.3">
      <c r="A8" s="18" t="s">
        <v>141</v>
      </c>
      <c r="B8" s="18" t="s">
        <v>142</v>
      </c>
      <c r="C8" s="18" t="s">
        <v>137</v>
      </c>
      <c r="D8" s="18" t="s">
        <v>127</v>
      </c>
      <c r="E8" s="18" t="s">
        <v>135</v>
      </c>
      <c r="F8" s="18" t="s">
        <v>144</v>
      </c>
      <c r="G8" s="18" t="s">
        <v>136</v>
      </c>
      <c r="H8" s="18" t="s">
        <v>187</v>
      </c>
    </row>
    <row r="9" spans="1:8" x14ac:dyDescent="0.3">
      <c r="A9" t="s">
        <v>49</v>
      </c>
      <c r="B9" s="2">
        <v>46039</v>
      </c>
      <c r="C9" t="s">
        <v>45</v>
      </c>
      <c r="D9" t="s">
        <v>15</v>
      </c>
      <c r="E9" t="s">
        <v>10</v>
      </c>
      <c r="F9" s="33">
        <v>71315</v>
      </c>
      <c r="G9" s="33" t="s">
        <v>23</v>
      </c>
      <c r="H9" s="33">
        <v>50169.229478448644</v>
      </c>
    </row>
    <row r="10" spans="1:8" x14ac:dyDescent="0.3">
      <c r="A10" t="s">
        <v>117</v>
      </c>
      <c r="B10" s="2">
        <v>46044</v>
      </c>
      <c r="C10" t="s">
        <v>21</v>
      </c>
      <c r="D10" t="s">
        <v>17</v>
      </c>
      <c r="E10" t="s">
        <v>4</v>
      </c>
      <c r="F10" s="33">
        <v>31455</v>
      </c>
      <c r="G10" s="33" t="s">
        <v>6</v>
      </c>
      <c r="H10" s="33">
        <v>10309.229478448644</v>
      </c>
    </row>
  </sheetData>
  <mergeCells count="10">
    <mergeCell ref="A5:B5"/>
    <mergeCell ref="C5:D5"/>
    <mergeCell ref="E5:F5"/>
    <mergeCell ref="G5:H5"/>
    <mergeCell ref="A1:H1"/>
    <mergeCell ref="A2:H2"/>
    <mergeCell ref="A4:B4"/>
    <mergeCell ref="C4:D4"/>
    <mergeCell ref="E4:F4"/>
    <mergeCell ref="G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0562-3B1C-46C4-8124-801A3DC5A7DA}">
  <dimension ref="A1:G14"/>
  <sheetViews>
    <sheetView workbookViewId="0">
      <selection sqref="A1:G1"/>
    </sheetView>
  </sheetViews>
  <sheetFormatPr defaultRowHeight="14.4" x14ac:dyDescent="0.3"/>
  <cols>
    <col min="1" max="1" width="10.21875" customWidth="1"/>
    <col min="2" max="2" width="19.44140625" customWidth="1"/>
    <col min="3" max="6" width="17.5546875" customWidth="1"/>
    <col min="7" max="7" width="15.33203125" bestFit="1" customWidth="1"/>
  </cols>
  <sheetData>
    <row r="1" spans="1:7" ht="25.8" x14ac:dyDescent="0.5">
      <c r="A1" s="13" t="s">
        <v>188</v>
      </c>
      <c r="B1" s="13"/>
      <c r="C1" s="13"/>
      <c r="D1" s="13"/>
      <c r="E1" s="13"/>
      <c r="F1" s="13"/>
      <c r="G1" s="13"/>
    </row>
    <row r="2" spans="1:7" x14ac:dyDescent="0.3">
      <c r="A2" s="9" t="s">
        <v>189</v>
      </c>
      <c r="B2" s="9"/>
      <c r="C2" s="9"/>
      <c r="D2" s="9"/>
      <c r="E2" s="9"/>
      <c r="F2" s="9"/>
      <c r="G2" s="9"/>
    </row>
    <row r="4" spans="1:7" x14ac:dyDescent="0.3">
      <c r="A4" s="14" t="s">
        <v>0</v>
      </c>
      <c r="B4" s="14"/>
      <c r="C4" s="14" t="s">
        <v>191</v>
      </c>
      <c r="D4" s="14"/>
      <c r="E4" s="14" t="s">
        <v>1</v>
      </c>
      <c r="F4" s="14"/>
      <c r="G4" s="10" t="s">
        <v>190</v>
      </c>
    </row>
    <row r="5" spans="1:7" ht="21" x14ac:dyDescent="0.4">
      <c r="A5" s="16">
        <f>SUM(Transactions!$G$2:$G$100)</f>
        <v>443265</v>
      </c>
      <c r="B5" s="16"/>
      <c r="C5" s="16">
        <f>SUM(Transactions!$J$2:$J$100)</f>
        <v>439613</v>
      </c>
      <c r="D5" s="16"/>
      <c r="E5" s="16">
        <f>A5-C5</f>
        <v>3652</v>
      </c>
      <c r="F5" s="16"/>
      <c r="G5" s="36">
        <f>COUNTA(A9:A14)</f>
        <v>6</v>
      </c>
    </row>
    <row r="8" spans="1:7" x14ac:dyDescent="0.3">
      <c r="A8" s="19" t="s">
        <v>192</v>
      </c>
      <c r="B8" s="19" t="s">
        <v>138</v>
      </c>
      <c r="C8" s="19" t="s">
        <v>132</v>
      </c>
      <c r="D8" s="19" t="s">
        <v>139</v>
      </c>
      <c r="E8" s="19" t="s">
        <v>133</v>
      </c>
      <c r="F8" s="19" t="s">
        <v>140</v>
      </c>
    </row>
    <row r="9" spans="1:7" x14ac:dyDescent="0.3">
      <c r="A9" s="23">
        <f>_xlfn.RANK.EQ(F9,$F$9:$F$14,0)</f>
        <v>1</v>
      </c>
      <c r="B9" s="23" t="s">
        <v>4</v>
      </c>
      <c r="C9" s="21">
        <f>SUMIF(Transactions!$E$2:$E$100,B9,Transactions!$G$2:$G$100)</f>
        <v>70469</v>
      </c>
      <c r="D9" s="21">
        <f>SUMIF(Transactions!$E$2:$E$100,B9,Transactions!$J$2:$J$100)</f>
        <v>64550</v>
      </c>
      <c r="E9" s="21">
        <f>C9-D9</f>
        <v>5919</v>
      </c>
      <c r="F9" s="22">
        <f>IFERROR(E9/C9,0)</f>
        <v>8.3994380507740996E-2</v>
      </c>
    </row>
    <row r="10" spans="1:7" x14ac:dyDescent="0.3">
      <c r="A10" s="23">
        <f>_xlfn.RANK.EQ(F10,$F$9:$F$14,0)</f>
        <v>2</v>
      </c>
      <c r="B10" s="23" t="s">
        <v>22</v>
      </c>
      <c r="C10" s="21">
        <f>SUMIF(Transactions!$E$2:$E$100,B10,Transactions!$G$2:$G$100)</f>
        <v>22892</v>
      </c>
      <c r="D10" s="21">
        <f>SUMIF(Transactions!$E$2:$E$100,B10,Transactions!$J$2:$J$100)</f>
        <v>21604</v>
      </c>
      <c r="E10" s="21">
        <f>C10-D10</f>
        <v>1288</v>
      </c>
      <c r="F10" s="22">
        <f>IFERROR(E10/C10,0)</f>
        <v>5.6264197099423381E-2</v>
      </c>
    </row>
    <row r="11" spans="1:7" x14ac:dyDescent="0.3">
      <c r="A11" s="23">
        <f>_xlfn.RANK.EQ(F11,$F$9:$F$14,0)</f>
        <v>3</v>
      </c>
      <c r="B11" s="23" t="s">
        <v>18</v>
      </c>
      <c r="C11" s="21">
        <f>SUMIF(Transactions!$E$2:$E$100,B11,Transactions!$G$2:$G$100)</f>
        <v>46980</v>
      </c>
      <c r="D11" s="21">
        <f>SUMIF(Transactions!$E$2:$E$100,B11,Transactions!$J$2:$J$100)</f>
        <v>45648</v>
      </c>
      <c r="E11" s="21">
        <f>C11-D11</f>
        <v>1332</v>
      </c>
      <c r="F11" s="22">
        <f>IFERROR(E11/C11,0)</f>
        <v>2.8352490421455937E-2</v>
      </c>
    </row>
    <row r="12" spans="1:7" x14ac:dyDescent="0.3">
      <c r="A12" s="23">
        <f>_xlfn.RANK.EQ(F12,$F$9:$F$14,0)</f>
        <v>4</v>
      </c>
      <c r="B12" s="23" t="s">
        <v>10</v>
      </c>
      <c r="C12" s="21">
        <f>SUMIF(Transactions!$E$2:$E$100,B12,Transactions!$G$2:$G$100)</f>
        <v>119113</v>
      </c>
      <c r="D12" s="21">
        <f>SUMIF(Transactions!$E$2:$E$100,B12,Transactions!$J$2:$J$100)</f>
        <v>117085</v>
      </c>
      <c r="E12" s="21">
        <f>C12-D12</f>
        <v>2028</v>
      </c>
      <c r="F12" s="22">
        <f>IFERROR(E12/C12,0)</f>
        <v>1.7025849403507595E-2</v>
      </c>
    </row>
    <row r="13" spans="1:7" x14ac:dyDescent="0.3">
      <c r="A13" s="23">
        <f>_xlfn.RANK.EQ(F13,$F$9:$F$14,0)</f>
        <v>5</v>
      </c>
      <c r="B13" s="23" t="s">
        <v>15</v>
      </c>
      <c r="C13" s="21">
        <f>SUMIF(Transactions!$E$2:$E$100,B13,Transactions!$G$2:$G$100)</f>
        <v>105238</v>
      </c>
      <c r="D13" s="21">
        <f>SUMIF(Transactions!$E$2:$E$100,B13,Transactions!$J$2:$J$100)</f>
        <v>107159</v>
      </c>
      <c r="E13" s="21">
        <f>C13-D13</f>
        <v>-1921</v>
      </c>
      <c r="F13" s="22">
        <f>IFERROR(E13/C13,0)</f>
        <v>-1.825386267317889E-2</v>
      </c>
    </row>
    <row r="14" spans="1:7" x14ac:dyDescent="0.3">
      <c r="A14" s="27">
        <f>_xlfn.RANK.EQ(F14,$F$9:$F$14,0)</f>
        <v>6</v>
      </c>
      <c r="B14" s="27" t="s">
        <v>26</v>
      </c>
      <c r="C14" s="25">
        <f>SUMIF(Transactions!$E$2:$E$100,B14,Transactions!$G$2:$G$100)</f>
        <v>78573</v>
      </c>
      <c r="D14" s="25">
        <f>SUMIF(Transactions!$E$2:$E$100,B14,Transactions!$J$2:$J$100)</f>
        <v>83567</v>
      </c>
      <c r="E14" s="25">
        <f>C14-D14</f>
        <v>-4994</v>
      </c>
      <c r="F14" s="26">
        <f>IFERROR(E14/C14,0)</f>
        <v>-6.3558728825423488E-2</v>
      </c>
    </row>
  </sheetData>
  <mergeCells count="8">
    <mergeCell ref="A1:G1"/>
    <mergeCell ref="A2:G2"/>
    <mergeCell ref="A4:B4"/>
    <mergeCell ref="C4:D4"/>
    <mergeCell ref="E4:F4"/>
    <mergeCell ref="A5:B5"/>
    <mergeCell ref="C5:D5"/>
    <mergeCell ref="E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C49FE-EFD3-4359-A534-61D555B5D5A8}">
  <dimension ref="A1:H14"/>
  <sheetViews>
    <sheetView workbookViewId="0">
      <selection sqref="A1:H1"/>
    </sheetView>
  </sheetViews>
  <sheetFormatPr defaultRowHeight="14.4" x14ac:dyDescent="0.3"/>
  <cols>
    <col min="1" max="1" width="9.6640625" customWidth="1"/>
    <col min="2" max="2" width="16.6640625" customWidth="1"/>
    <col min="3" max="7" width="17" customWidth="1"/>
  </cols>
  <sheetData>
    <row r="1" spans="1:8" ht="25.8" x14ac:dyDescent="0.5">
      <c r="A1" s="13" t="s">
        <v>193</v>
      </c>
      <c r="B1" s="13"/>
      <c r="C1" s="13"/>
      <c r="D1" s="13"/>
      <c r="E1" s="13"/>
      <c r="F1" s="13"/>
      <c r="G1" s="13"/>
      <c r="H1" s="13"/>
    </row>
    <row r="2" spans="1:8" x14ac:dyDescent="0.3">
      <c r="A2" s="9" t="s">
        <v>194</v>
      </c>
      <c r="B2" s="9"/>
      <c r="C2" s="9"/>
      <c r="D2" s="9"/>
      <c r="E2" s="9"/>
      <c r="F2" s="9"/>
      <c r="G2" s="9"/>
      <c r="H2" s="9"/>
    </row>
    <row r="4" spans="1:8" x14ac:dyDescent="0.3">
      <c r="A4" s="14" t="s">
        <v>195</v>
      </c>
      <c r="B4" s="14"/>
      <c r="C4" s="14" t="s">
        <v>196</v>
      </c>
      <c r="D4" s="14"/>
      <c r="E4" s="14" t="s">
        <v>197</v>
      </c>
      <c r="F4" s="14"/>
      <c r="G4" s="15" t="s">
        <v>198</v>
      </c>
      <c r="H4" s="15"/>
    </row>
    <row r="5" spans="1:8" ht="19.8" x14ac:dyDescent="0.4">
      <c r="A5" s="37">
        <f>SUMIF(Transactions!$I$2:$I$100,"Q1",Transactions!$G$2:$G$100)</f>
        <v>283046</v>
      </c>
      <c r="B5" s="37"/>
      <c r="C5" s="37">
        <f>SUMIF(Transactions!$I$2:$I$100,"Q2",Transactions!$G$2:$G$100)</f>
        <v>160219</v>
      </c>
      <c r="D5" s="37"/>
      <c r="E5" s="37">
        <f>C5-A5</f>
        <v>-122827</v>
      </c>
      <c r="F5" s="37"/>
      <c r="G5" s="35" t="str">
        <f>INDEX(B9:B14,MATCH(MAX(F9:F14),F9:F14,0))</f>
        <v>HR</v>
      </c>
      <c r="H5" s="35"/>
    </row>
    <row r="8" spans="1:8" x14ac:dyDescent="0.3">
      <c r="A8" s="18" t="s">
        <v>192</v>
      </c>
      <c r="B8" s="18" t="s">
        <v>137</v>
      </c>
      <c r="C8" s="18" t="s">
        <v>195</v>
      </c>
      <c r="D8" s="18" t="s">
        <v>196</v>
      </c>
      <c r="E8" s="18" t="s">
        <v>129</v>
      </c>
      <c r="F8" s="18" t="s">
        <v>199</v>
      </c>
      <c r="G8" s="18" t="s">
        <v>130</v>
      </c>
    </row>
    <row r="9" spans="1:8" x14ac:dyDescent="0.3">
      <c r="A9">
        <f>_xlfn.RANK.EQ(F9,$F$9:$F$14,0)</f>
        <v>1</v>
      </c>
      <c r="B9" t="s">
        <v>45</v>
      </c>
      <c r="C9" s="7">
        <f>SUMIFS(Transactions!$G$2:$G$100,Transactions!$C$2:$C$100,B9,Transactions!$I$2:$I$100,"Q1")</f>
        <v>82251</v>
      </c>
      <c r="D9" s="7">
        <f>SUMIFS(Transactions!$G$2:$G$100,Transactions!$C$2:$C$100,B9,Transactions!$I$2:$I$100,"Q2")</f>
        <v>20230</v>
      </c>
      <c r="E9" s="7">
        <f>D9-C9</f>
        <v>-62021</v>
      </c>
      <c r="F9" s="7">
        <f>ABS(E9)</f>
        <v>62021</v>
      </c>
      <c r="G9" s="3">
        <f>IFERROR(E9/C9,0)</f>
        <v>-0.7540455435192277</v>
      </c>
    </row>
    <row r="10" spans="1:8" x14ac:dyDescent="0.3">
      <c r="A10">
        <f>_xlfn.RANK.EQ(F10,$F$9:$F$14,0)</f>
        <v>2</v>
      </c>
      <c r="B10" t="s">
        <v>2</v>
      </c>
      <c r="C10" s="7">
        <f>SUMIFS(Transactions!$G$2:$G$100,Transactions!$C$2:$C$100,B10,Transactions!$I$2:$I$100,"Q1")</f>
        <v>50748</v>
      </c>
      <c r="D10" s="7">
        <f>SUMIFS(Transactions!$G$2:$G$100,Transactions!$C$2:$C$100,B10,Transactions!$I$2:$I$100,"Q2")</f>
        <v>12278</v>
      </c>
      <c r="E10" s="7">
        <f>D10-C10</f>
        <v>-38470</v>
      </c>
      <c r="F10" s="7">
        <f>ABS(E10)</f>
        <v>38470</v>
      </c>
      <c r="G10" s="3">
        <f>IFERROR(E10/C10,0)</f>
        <v>-0.75805943091353356</v>
      </c>
    </row>
    <row r="11" spans="1:8" x14ac:dyDescent="0.3">
      <c r="A11">
        <f>_xlfn.RANK.EQ(F11,$F$9:$F$14,0)</f>
        <v>3</v>
      </c>
      <c r="B11" t="s">
        <v>14</v>
      </c>
      <c r="C11" s="7">
        <f>SUMIFS(Transactions!$G$2:$G$100,Transactions!$C$2:$C$100,B11,Transactions!$I$2:$I$100,"Q1")</f>
        <v>13123</v>
      </c>
      <c r="D11" s="7">
        <f>SUMIFS(Transactions!$G$2:$G$100,Transactions!$C$2:$C$100,B11,Transactions!$I$2:$I$100,"Q2")</f>
        <v>33478</v>
      </c>
      <c r="E11" s="7">
        <f>D11-C11</f>
        <v>20355</v>
      </c>
      <c r="F11" s="7">
        <f>ABS(E11)</f>
        <v>20355</v>
      </c>
      <c r="G11" s="3">
        <f>IFERROR(E11/C11,0)</f>
        <v>1.551093499961899</v>
      </c>
    </row>
    <row r="12" spans="1:8" x14ac:dyDescent="0.3">
      <c r="A12">
        <f>_xlfn.RANK.EQ(F12,$F$9:$F$14,0)</f>
        <v>4</v>
      </c>
      <c r="B12" t="s">
        <v>21</v>
      </c>
      <c r="C12" s="7">
        <f>SUMIFS(Transactions!$G$2:$G$100,Transactions!$C$2:$C$100,B12,Transactions!$I$2:$I$100,"Q1")</f>
        <v>56416</v>
      </c>
      <c r="D12" s="7">
        <f>SUMIFS(Transactions!$G$2:$G$100,Transactions!$C$2:$C$100,B12,Transactions!$I$2:$I$100,"Q2")</f>
        <v>40224</v>
      </c>
      <c r="E12" s="7">
        <f>D12-C12</f>
        <v>-16192</v>
      </c>
      <c r="F12" s="7">
        <f>ABS(E12)</f>
        <v>16192</v>
      </c>
      <c r="G12" s="3">
        <f>IFERROR(E12/C12,0)</f>
        <v>-0.28701077708451506</v>
      </c>
    </row>
    <row r="13" spans="1:8" x14ac:dyDescent="0.3">
      <c r="A13">
        <f>_xlfn.RANK.EQ(F13,$F$9:$F$14,0)</f>
        <v>5</v>
      </c>
      <c r="B13" t="s">
        <v>17</v>
      </c>
      <c r="C13" s="7">
        <f>SUMIFS(Transactions!$G$2:$G$100,Transactions!$C$2:$C$100,B13,Transactions!$I$2:$I$100,"Q1")</f>
        <v>50272</v>
      </c>
      <c r="D13" s="7">
        <f>SUMIFS(Transactions!$G$2:$G$100,Transactions!$C$2:$C$100,B13,Transactions!$I$2:$I$100,"Q2")</f>
        <v>34842</v>
      </c>
      <c r="E13" s="7">
        <f>D13-C13</f>
        <v>-15430</v>
      </c>
      <c r="F13" s="7">
        <f>ABS(E13)</f>
        <v>15430</v>
      </c>
      <c r="G13" s="3">
        <f>IFERROR(E13/C13,0)</f>
        <v>-0.30693029917250159</v>
      </c>
    </row>
    <row r="14" spans="1:8" x14ac:dyDescent="0.3">
      <c r="A14">
        <f>_xlfn.RANK.EQ(F14,$F$9:$F$14,0)</f>
        <v>6</v>
      </c>
      <c r="B14" t="s">
        <v>9</v>
      </c>
      <c r="C14" s="7">
        <f>SUMIFS(Transactions!$G$2:$G$100,Transactions!$C$2:$C$100,B14,Transactions!$I$2:$I$100,"Q1")</f>
        <v>30236</v>
      </c>
      <c r="D14" s="7">
        <f>SUMIFS(Transactions!$G$2:$G$100,Transactions!$C$2:$C$100,B14,Transactions!$I$2:$I$100,"Q2")</f>
        <v>19167</v>
      </c>
      <c r="E14" s="7">
        <f>D14-C14</f>
        <v>-11069</v>
      </c>
      <c r="F14" s="7">
        <f>ABS(E14)</f>
        <v>11069</v>
      </c>
      <c r="G14" s="3">
        <f>IFERROR(E14/C14,0)</f>
        <v>-0.36608678396613309</v>
      </c>
    </row>
  </sheetData>
  <mergeCells count="10">
    <mergeCell ref="A5:B5"/>
    <mergeCell ref="C5:D5"/>
    <mergeCell ref="E5:F5"/>
    <mergeCell ref="G5:H5"/>
    <mergeCell ref="A1:H1"/>
    <mergeCell ref="A2:H2"/>
    <mergeCell ref="A4:B4"/>
    <mergeCell ref="C4:D4"/>
    <mergeCell ref="E4:F4"/>
    <mergeCell ref="G4:H4"/>
  </mergeCells>
  <conditionalFormatting sqref="E9:E14">
    <cfRule type="cellIs" dxfId="5" priority="1" operator="greaterThan">
      <formula>0</formula>
    </cfRule>
  </conditionalFormatting>
  <conditionalFormatting sqref="E9:E14">
    <cfRule type="cellIs" dxfId="4" priority="2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52BA8-C18B-4956-B4D6-6AD0CED3D2C5}">
  <dimension ref="A1:N30"/>
  <sheetViews>
    <sheetView zoomScale="80" zoomScaleNormal="80" workbookViewId="0">
      <selection sqref="A1:N1"/>
    </sheetView>
  </sheetViews>
  <sheetFormatPr defaultRowHeight="14.4" x14ac:dyDescent="0.3"/>
  <cols>
    <col min="1" max="1" width="19.44140625" customWidth="1"/>
    <col min="2" max="5" width="17" customWidth="1"/>
    <col min="6" max="6" width="3.33203125" customWidth="1"/>
    <col min="7" max="14" width="12.5546875" customWidth="1"/>
  </cols>
  <sheetData>
    <row r="1" spans="1:14" ht="28.8" x14ac:dyDescent="0.55000000000000004">
      <c r="A1" s="41" t="s">
        <v>200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x14ac:dyDescent="0.3">
      <c r="A2" s="42" t="s">
        <v>201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x14ac:dyDescent="0.3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x14ac:dyDescent="0.3">
      <c r="A4" s="43" t="s">
        <v>148</v>
      </c>
      <c r="B4" s="43"/>
      <c r="C4" s="39"/>
      <c r="D4" s="43" t="s">
        <v>134</v>
      </c>
      <c r="E4" s="43"/>
      <c r="F4" s="39"/>
      <c r="G4" s="43" t="s">
        <v>197</v>
      </c>
      <c r="H4" s="43"/>
      <c r="I4" s="39"/>
      <c r="J4" s="43" t="s">
        <v>130</v>
      </c>
      <c r="K4" s="43"/>
      <c r="L4" s="39"/>
      <c r="M4" s="43" t="s">
        <v>202</v>
      </c>
      <c r="N4" s="43"/>
    </row>
    <row r="5" spans="1:14" ht="22.2" x14ac:dyDescent="0.45">
      <c r="A5" s="44">
        <f>SUM(Transactions!$G$2:$G$100)</f>
        <v>443265</v>
      </c>
      <c r="B5" s="44"/>
      <c r="C5" s="40"/>
      <c r="D5" s="44">
        <f>SUM(Transactions!$J$2:$J$100)</f>
        <v>439613</v>
      </c>
      <c r="E5" s="44"/>
      <c r="F5" s="40"/>
      <c r="G5" s="44">
        <f>A5-D5</f>
        <v>3652</v>
      </c>
      <c r="H5" s="44"/>
      <c r="I5" s="40"/>
      <c r="J5" s="45">
        <f>IFERROR(G5/D5,0)</f>
        <v>8.3073066538068719E-3</v>
      </c>
      <c r="K5" s="45"/>
      <c r="L5" s="39"/>
      <c r="M5" s="46">
        <f>COUNTIF(D10:D15,"&gt;0")</f>
        <v>4</v>
      </c>
      <c r="N5" s="46"/>
    </row>
    <row r="6" spans="1:14" x14ac:dyDescent="0.3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x14ac:dyDescent="0.3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x14ac:dyDescent="0.3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4" x14ac:dyDescent="0.3">
      <c r="A9" s="47" t="s">
        <v>127</v>
      </c>
      <c r="B9" s="47" t="s">
        <v>148</v>
      </c>
      <c r="C9" s="47" t="s">
        <v>128</v>
      </c>
      <c r="D9" s="47" t="s">
        <v>129</v>
      </c>
      <c r="E9" s="47" t="s">
        <v>130</v>
      </c>
      <c r="F9" s="39"/>
      <c r="G9" s="39"/>
      <c r="H9" s="39"/>
      <c r="I9" s="39"/>
      <c r="J9" s="39"/>
      <c r="K9" s="39"/>
      <c r="L9" s="39"/>
      <c r="M9" s="39"/>
      <c r="N9" s="39"/>
    </row>
    <row r="10" spans="1:14" x14ac:dyDescent="0.3">
      <c r="A10" s="48" t="s">
        <v>17</v>
      </c>
      <c r="B10" s="49">
        <f>SUMIF(Transactions!$D$2:$D$100,A10,Transactions!$G$2:$G$100)</f>
        <v>115829</v>
      </c>
      <c r="C10" s="49">
        <f>SUMIF(Transactions!$D$2:$D$100,A10,Transactions!$J$2:$J$100)</f>
        <v>116465</v>
      </c>
      <c r="D10" s="49">
        <f>B10-C10</f>
        <v>-636</v>
      </c>
      <c r="E10" s="50">
        <f>IFERROR(D10/C10,0)</f>
        <v>-5.4608680719529469E-3</v>
      </c>
      <c r="F10" s="39"/>
      <c r="G10" s="39"/>
      <c r="H10" s="39"/>
      <c r="I10" s="39"/>
      <c r="J10" s="39"/>
      <c r="K10" s="39"/>
      <c r="L10" s="39"/>
      <c r="M10" s="39"/>
      <c r="N10" s="39"/>
    </row>
    <row r="11" spans="1:14" x14ac:dyDescent="0.3">
      <c r="A11" s="48" t="s">
        <v>34</v>
      </c>
      <c r="B11" s="49">
        <f>SUMIF(Transactions!$D$2:$D$100,A11,Transactions!$G$2:$G$100)</f>
        <v>13165</v>
      </c>
      <c r="C11" s="49">
        <f>SUMIF(Transactions!$D$2:$D$100,A11,Transactions!$J$2:$J$100)</f>
        <v>12592</v>
      </c>
      <c r="D11" s="49">
        <f t="shared" ref="D11:D15" si="0">B11-C11</f>
        <v>573</v>
      </c>
      <c r="E11" s="50">
        <f t="shared" ref="E11:E15" si="1">IFERROR(D11/C11,0)</f>
        <v>4.5505082592121986E-2</v>
      </c>
      <c r="F11" s="39"/>
      <c r="G11" s="39"/>
      <c r="H11" s="39"/>
      <c r="I11" s="39"/>
      <c r="J11" s="39"/>
      <c r="K11" s="39"/>
      <c r="L11" s="39"/>
      <c r="M11" s="39"/>
      <c r="N11" s="39"/>
    </row>
    <row r="12" spans="1:14" x14ac:dyDescent="0.3">
      <c r="A12" s="48" t="s">
        <v>15</v>
      </c>
      <c r="B12" s="49">
        <f>SUMIF(Transactions!$D$2:$D$100,A12,Transactions!$G$2:$G$100)</f>
        <v>238592</v>
      </c>
      <c r="C12" s="49">
        <f>SUMIF(Transactions!$D$2:$D$100,A12,Transactions!$J$2:$J$100)</f>
        <v>235891</v>
      </c>
      <c r="D12" s="49">
        <f t="shared" si="0"/>
        <v>2701</v>
      </c>
      <c r="E12" s="50">
        <f t="shared" si="1"/>
        <v>1.1450203695774744E-2</v>
      </c>
      <c r="F12" s="39"/>
      <c r="G12" s="39"/>
      <c r="H12" s="39"/>
      <c r="I12" s="39"/>
      <c r="J12" s="39"/>
      <c r="K12" s="39"/>
      <c r="L12" s="39"/>
      <c r="M12" s="39"/>
      <c r="N12" s="39"/>
    </row>
    <row r="13" spans="1:14" x14ac:dyDescent="0.3">
      <c r="A13" s="48" t="s">
        <v>29</v>
      </c>
      <c r="B13" s="49">
        <f>SUMIF(Transactions!$D$2:$D$100,A13,Transactions!$G$2:$G$100)</f>
        <v>33174</v>
      </c>
      <c r="C13" s="49">
        <f>SUMIF(Transactions!$D$2:$D$100,A13,Transactions!$J$2:$J$100)</f>
        <v>31902</v>
      </c>
      <c r="D13" s="49">
        <f t="shared" si="0"/>
        <v>1272</v>
      </c>
      <c r="E13" s="50">
        <f t="shared" si="1"/>
        <v>3.9872108331766035E-2</v>
      </c>
      <c r="F13" s="39"/>
      <c r="G13" s="39"/>
      <c r="H13" s="39"/>
      <c r="I13" s="39"/>
      <c r="J13" s="39"/>
      <c r="K13" s="39"/>
      <c r="L13" s="39"/>
      <c r="M13" s="39"/>
      <c r="N13" s="39"/>
    </row>
    <row r="14" spans="1:14" x14ac:dyDescent="0.3">
      <c r="A14" s="48" t="s">
        <v>3</v>
      </c>
      <c r="B14" s="49">
        <f>SUMIF(Transactions!$D$2:$D$100,A14,Transactions!$G$2:$G$100)</f>
        <v>23278</v>
      </c>
      <c r="C14" s="49">
        <f>SUMIF(Transactions!$D$2:$D$100,A14,Transactions!$J$2:$J$100)</f>
        <v>23900</v>
      </c>
      <c r="D14" s="49">
        <f t="shared" si="0"/>
        <v>-622</v>
      </c>
      <c r="E14" s="50">
        <f t="shared" si="1"/>
        <v>-2.6025104602510462E-2</v>
      </c>
      <c r="F14" s="39"/>
      <c r="G14" s="39"/>
      <c r="H14" s="39"/>
      <c r="I14" s="39"/>
      <c r="J14" s="39"/>
      <c r="K14" s="39"/>
      <c r="L14" s="39"/>
      <c r="M14" s="39"/>
      <c r="N14" s="39"/>
    </row>
    <row r="15" spans="1:14" x14ac:dyDescent="0.3">
      <c r="A15" s="51" t="s">
        <v>25</v>
      </c>
      <c r="B15" s="52">
        <f>SUMIF(Transactions!$D$2:$D$100,A15,Transactions!$G$2:$G$100)</f>
        <v>19227</v>
      </c>
      <c r="C15" s="52">
        <f>SUMIF(Transactions!$D$2:$D$100,A15,Transactions!$J$2:$J$100)</f>
        <v>18863</v>
      </c>
      <c r="D15" s="52">
        <f t="shared" si="0"/>
        <v>364</v>
      </c>
      <c r="E15" s="53">
        <f t="shared" si="1"/>
        <v>1.9297036526533425E-2</v>
      </c>
      <c r="F15" s="39"/>
      <c r="G15" s="39"/>
      <c r="H15" s="39"/>
      <c r="I15" s="39"/>
      <c r="J15" s="39"/>
      <c r="K15" s="39"/>
      <c r="L15" s="39"/>
      <c r="M15" s="39"/>
      <c r="N15" s="39"/>
    </row>
    <row r="16" spans="1:14" x14ac:dyDescent="0.3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4" x14ac:dyDescent="0.3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4" x14ac:dyDescent="0.3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spans="1:14" x14ac:dyDescent="0.3">
      <c r="A19" s="47" t="s">
        <v>131</v>
      </c>
      <c r="B19" s="47" t="s">
        <v>148</v>
      </c>
      <c r="C19" s="47" t="s">
        <v>128</v>
      </c>
      <c r="D19" s="47" t="s">
        <v>129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4" x14ac:dyDescent="0.3">
      <c r="A20" s="54">
        <v>46023</v>
      </c>
      <c r="B20" s="49">
        <f>SUMIFS(Transactions!$G$2:$G$100,Transactions!$B$2:$B$100,"&gt;="&amp;A20,Transactions!$B$2:$B$100,"&lt;"&amp;EDATE(A20,1))</f>
        <v>182489</v>
      </c>
      <c r="C20" s="49">
        <f>SUMIFS(Transactions!$J$2:$J$100,Transactions!$B$2:$B$100,"&gt;="&amp;A20,Transactions!$B$2:$B$100,"&lt;"&amp;EDATE(A20,1))</f>
        <v>173647</v>
      </c>
      <c r="D20" s="49">
        <f>B20-C20</f>
        <v>8842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</row>
    <row r="21" spans="1:14" x14ac:dyDescent="0.3">
      <c r="A21" s="54">
        <v>46054</v>
      </c>
      <c r="B21" s="49">
        <f>SUMIFS(Transactions!$G$2:$G$100,Transactions!$B$2:$B$100,"&gt;="&amp;A21,Transactions!$B$2:$B$100,"&lt;"&amp;EDATE(A21,1))</f>
        <v>38138</v>
      </c>
      <c r="C21" s="49">
        <f>SUMIFS(Transactions!$J$2:$J$100,Transactions!$B$2:$B$100,"&gt;="&amp;A21,Transactions!$B$2:$B$100,"&lt;"&amp;EDATE(A21,1))</f>
        <v>40964</v>
      </c>
      <c r="D21" s="49">
        <f t="shared" ref="D21:D25" si="2">B21-C21</f>
        <v>-2826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spans="1:14" x14ac:dyDescent="0.3">
      <c r="A22" s="54">
        <v>46082</v>
      </c>
      <c r="B22" s="49">
        <f>SUMIFS(Transactions!$G$2:$G$100,Transactions!$B$2:$B$100,"&gt;="&amp;A22,Transactions!$B$2:$B$100,"&lt;"&amp;EDATE(A22,1))</f>
        <v>62419</v>
      </c>
      <c r="C22" s="49">
        <f>SUMIFS(Transactions!$J$2:$J$100,Transactions!$B$2:$B$100,"&gt;="&amp;A22,Transactions!$B$2:$B$100,"&lt;"&amp;EDATE(A22,1))</f>
        <v>66198</v>
      </c>
      <c r="D22" s="49">
        <f t="shared" si="2"/>
        <v>-3779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</row>
    <row r="23" spans="1:14" x14ac:dyDescent="0.3">
      <c r="A23" s="54">
        <v>46113</v>
      </c>
      <c r="B23" s="49">
        <f>SUMIFS(Transactions!$G$2:$G$100,Transactions!$B$2:$B$100,"&gt;="&amp;A23,Transactions!$B$2:$B$100,"&lt;"&amp;EDATE(A23,1))</f>
        <v>61049</v>
      </c>
      <c r="C23" s="49">
        <f>SUMIFS(Transactions!$J$2:$J$100,Transactions!$B$2:$B$100,"&gt;="&amp;A23,Transactions!$B$2:$B$100,"&lt;"&amp;EDATE(A23,1))</f>
        <v>60831</v>
      </c>
      <c r="D23" s="49">
        <f t="shared" si="2"/>
        <v>218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x14ac:dyDescent="0.3">
      <c r="A24" s="54">
        <v>46143</v>
      </c>
      <c r="B24" s="49">
        <f>SUMIFS(Transactions!$G$2:$G$100,Transactions!$B$2:$B$100,"&gt;="&amp;A24,Transactions!$B$2:$B$100,"&lt;"&amp;EDATE(A24,1))</f>
        <v>52085</v>
      </c>
      <c r="C24" s="49">
        <f>SUMIFS(Transactions!$J$2:$J$100,Transactions!$B$2:$B$100,"&gt;="&amp;A24,Transactions!$B$2:$B$100,"&lt;"&amp;EDATE(A24,1))</f>
        <v>49896</v>
      </c>
      <c r="D24" s="49">
        <f t="shared" si="2"/>
        <v>2189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</row>
    <row r="25" spans="1:14" x14ac:dyDescent="0.3">
      <c r="A25" s="55">
        <v>46174</v>
      </c>
      <c r="B25" s="52">
        <f>SUMIFS(Transactions!$G$2:$G$100,Transactions!$B$2:$B$100,"&gt;="&amp;A25,Transactions!$B$2:$B$100,"&lt;"&amp;EDATE(A25,1))</f>
        <v>47085</v>
      </c>
      <c r="C25" s="52">
        <f>SUMIFS(Transactions!$J$2:$J$100,Transactions!$B$2:$B$100,"&gt;="&amp;A25,Transactions!$B$2:$B$100,"&lt;"&amp;EDATE(A25,1))</f>
        <v>48077</v>
      </c>
      <c r="D25" s="52">
        <f t="shared" si="2"/>
        <v>-992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</row>
    <row r="26" spans="1:14" x14ac:dyDescent="0.3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1:14" x14ac:dyDescent="0.3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  <row r="28" spans="1:14" x14ac:dyDescent="0.3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29" spans="1:14" x14ac:dyDescent="0.3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</row>
    <row r="30" spans="1:14" x14ac:dyDescent="0.3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</row>
  </sheetData>
  <mergeCells count="12">
    <mergeCell ref="M4:N4"/>
    <mergeCell ref="M5:N5"/>
    <mergeCell ref="A1:N1"/>
    <mergeCell ref="A2:N2"/>
    <mergeCell ref="A4:B4"/>
    <mergeCell ref="A5:B5"/>
    <mergeCell ref="D4:E4"/>
    <mergeCell ref="D5:E5"/>
    <mergeCell ref="G4:H4"/>
    <mergeCell ref="G5:H5"/>
    <mergeCell ref="J4:K4"/>
    <mergeCell ref="J5:K5"/>
  </mergeCells>
  <conditionalFormatting sqref="D10:D15">
    <cfRule type="cellIs" dxfId="3" priority="1" operator="greaterThan">
      <formula>0</formula>
    </cfRule>
  </conditionalFormatting>
  <conditionalFormatting sqref="D10:D15">
    <cfRule type="cellIs" dxfId="2" priority="2" operator="lessThan">
      <formula>0</formula>
    </cfRule>
  </conditionalFormatting>
  <conditionalFormatting sqref="D20:D25">
    <cfRule type="cellIs" dxfId="1" priority="3" operator="greaterThan">
      <formula>0</formula>
    </cfRule>
  </conditionalFormatting>
  <conditionalFormatting sqref="D20:D25">
    <cfRule type="cellIs" dxfId="0" priority="4" operator="lessThan">
      <formula>0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DC227-26AC-4618-AE8B-2B5307B92721}">
  <dimension ref="A1:H14"/>
  <sheetViews>
    <sheetView zoomScale="90" zoomScaleNormal="90" workbookViewId="0">
      <selection sqref="A1:H1"/>
    </sheetView>
  </sheetViews>
  <sheetFormatPr defaultRowHeight="14.4" x14ac:dyDescent="0.3"/>
  <cols>
    <col min="1" max="1" width="10.21875" customWidth="1"/>
    <col min="2" max="3" width="17.5546875" customWidth="1"/>
    <col min="4" max="4" width="14.77734375" customWidth="1"/>
    <col min="5" max="5" width="17.5546875" customWidth="1"/>
  </cols>
  <sheetData>
    <row r="1" spans="1:8" ht="25.8" x14ac:dyDescent="0.5">
      <c r="A1" s="13" t="s">
        <v>203</v>
      </c>
      <c r="B1" s="13"/>
      <c r="C1" s="13"/>
      <c r="D1" s="13"/>
      <c r="E1" s="13"/>
      <c r="F1" s="13"/>
      <c r="G1" s="13"/>
      <c r="H1" s="13"/>
    </row>
    <row r="2" spans="1:8" x14ac:dyDescent="0.3">
      <c r="A2" s="9" t="s">
        <v>204</v>
      </c>
      <c r="B2" s="9"/>
      <c r="C2" s="9"/>
      <c r="D2" s="9"/>
      <c r="E2" s="9"/>
      <c r="F2" s="9"/>
      <c r="G2" s="9"/>
      <c r="H2" s="9"/>
    </row>
    <row r="4" spans="1:8" x14ac:dyDescent="0.3">
      <c r="A4" s="14" t="s">
        <v>205</v>
      </c>
      <c r="B4" s="14"/>
      <c r="C4" s="14" t="s">
        <v>206</v>
      </c>
      <c r="D4" s="14"/>
      <c r="E4" s="14" t="s">
        <v>207</v>
      </c>
      <c r="F4" s="14"/>
      <c r="G4" s="15" t="s">
        <v>208</v>
      </c>
      <c r="H4" s="15"/>
    </row>
    <row r="5" spans="1:8" ht="21" x14ac:dyDescent="0.4">
      <c r="A5" s="16">
        <f>SUMIF(Transactions!$D$2:$D$100,"Payroll",Transactions!$G$2:$G$100)</f>
        <v>238592</v>
      </c>
      <c r="B5" s="16"/>
      <c r="C5" s="28">
        <f>COUNTIF(Transactions!$D$2:$D$100,"Payroll")</f>
        <v>17</v>
      </c>
      <c r="D5" s="28"/>
      <c r="E5" s="28" t="str">
        <f>INDEX(B9:B14,MATCH(MAX(C9:C14),C9:C14,0))</f>
        <v>HR</v>
      </c>
      <c r="F5" s="28"/>
      <c r="G5" s="17">
        <f>IFERROR(MAX(C9:C14)/A5,0)</f>
        <v>0.33243780177038629</v>
      </c>
      <c r="H5" s="17"/>
    </row>
    <row r="8" spans="1:8" x14ac:dyDescent="0.3">
      <c r="A8" s="18" t="s">
        <v>192</v>
      </c>
      <c r="B8" s="18" t="s">
        <v>137</v>
      </c>
      <c r="C8" s="18" t="s">
        <v>209</v>
      </c>
      <c r="D8" s="18" t="s">
        <v>210</v>
      </c>
      <c r="E8" s="18" t="s">
        <v>211</v>
      </c>
    </row>
    <row r="9" spans="1:8" x14ac:dyDescent="0.3">
      <c r="A9">
        <f>_xlfn.RANK.EQ(C9,$C$9:$C$14,0)</f>
        <v>1</v>
      </c>
      <c r="B9" t="s">
        <v>45</v>
      </c>
      <c r="C9" s="7">
        <f>SUMIFS(Transactions!$G$2:$G$100,Transactions!$C$2:$C$100,B9,Transactions!$D$2:$D$100,"Payroll")</f>
        <v>79317</v>
      </c>
      <c r="D9">
        <f>COUNTIFS(Transactions!$C$2:$C$100,B9,Transactions!$D$2:$D$100,"Payroll")</f>
        <v>2</v>
      </c>
      <c r="E9" s="3">
        <f>IFERROR(C9/$A$5,0)</f>
        <v>0.33243780177038629</v>
      </c>
    </row>
    <row r="10" spans="1:8" x14ac:dyDescent="0.3">
      <c r="A10">
        <f>_xlfn.RANK.EQ(C10,$C$9:$C$14,0)</f>
        <v>2</v>
      </c>
      <c r="B10" t="s">
        <v>17</v>
      </c>
      <c r="C10" s="7">
        <f>SUMIFS(Transactions!$G$2:$G$100,Transactions!$C$2:$C$100,B10,Transactions!$D$2:$D$100,"Payroll")</f>
        <v>59625</v>
      </c>
      <c r="D10">
        <f>COUNTIFS(Transactions!$C$2:$C$100,B10,Transactions!$D$2:$D$100,"Payroll")</f>
        <v>6</v>
      </c>
      <c r="E10" s="3">
        <f>IFERROR(C10/$A$5,0)</f>
        <v>0.24990360112660945</v>
      </c>
    </row>
    <row r="11" spans="1:8" x14ac:dyDescent="0.3">
      <c r="A11">
        <f>_xlfn.RANK.EQ(C11,$C$9:$C$14,0)</f>
        <v>3</v>
      </c>
      <c r="B11" t="s">
        <v>2</v>
      </c>
      <c r="C11" s="7">
        <f>SUMIFS(Transactions!$G$2:$G$100,Transactions!$C$2:$C$100,B11,Transactions!$D$2:$D$100,"Payroll")</f>
        <v>46603</v>
      </c>
      <c r="D11">
        <f>COUNTIFS(Transactions!$C$2:$C$100,B11,Transactions!$D$2:$D$100,"Payroll")</f>
        <v>4</v>
      </c>
      <c r="E11" s="3">
        <f>IFERROR(C11/$A$5,0)</f>
        <v>0.19532507376609443</v>
      </c>
    </row>
    <row r="12" spans="1:8" x14ac:dyDescent="0.3">
      <c r="A12">
        <f>_xlfn.RANK.EQ(C12,$C$9:$C$14,0)</f>
        <v>4</v>
      </c>
      <c r="B12" t="s">
        <v>21</v>
      </c>
      <c r="C12" s="7">
        <f>SUMIFS(Transactions!$G$2:$G$100,Transactions!$C$2:$C$100,B12,Transactions!$D$2:$D$100,"Payroll")</f>
        <v>36044</v>
      </c>
      <c r="D12">
        <f>COUNTIFS(Transactions!$C$2:$C$100,B12,Transactions!$D$2:$D$100,"Payroll")</f>
        <v>3</v>
      </c>
      <c r="E12" s="3">
        <f>IFERROR(C12/$A$5,0)</f>
        <v>0.15106960836909872</v>
      </c>
    </row>
    <row r="13" spans="1:8" x14ac:dyDescent="0.3">
      <c r="A13">
        <f>_xlfn.RANK.EQ(C13,$C$9:$C$14,0)</f>
        <v>5</v>
      </c>
      <c r="B13" t="s">
        <v>9</v>
      </c>
      <c r="C13" s="7">
        <f>SUMIFS(Transactions!$G$2:$G$100,Transactions!$C$2:$C$100,B13,Transactions!$D$2:$D$100,"Payroll")</f>
        <v>9033</v>
      </c>
      <c r="D13">
        <f>COUNTIFS(Transactions!$C$2:$C$100,B13,Transactions!$D$2:$D$100,"Payroll")</f>
        <v>1</v>
      </c>
      <c r="E13" s="3">
        <f>IFERROR(C13/$A$5,0)</f>
        <v>3.7859609710300432E-2</v>
      </c>
    </row>
    <row r="14" spans="1:8" x14ac:dyDescent="0.3">
      <c r="A14">
        <f>_xlfn.RANK.EQ(C14,$C$9:$C$14,0)</f>
        <v>6</v>
      </c>
      <c r="B14" t="s">
        <v>14</v>
      </c>
      <c r="C14" s="7">
        <f>SUMIFS(Transactions!$G$2:$G$100,Transactions!$C$2:$C$100,B14,Transactions!$D$2:$D$100,"Payroll")</f>
        <v>7970</v>
      </c>
      <c r="D14">
        <f>COUNTIFS(Transactions!$C$2:$C$100,B14,Transactions!$D$2:$D$100,"Payroll")</f>
        <v>1</v>
      </c>
      <c r="E14" s="3">
        <f>IFERROR(C14/$A$5,0)</f>
        <v>3.340430525751073E-2</v>
      </c>
    </row>
  </sheetData>
  <mergeCells count="10">
    <mergeCell ref="A5:B5"/>
    <mergeCell ref="C5:D5"/>
    <mergeCell ref="E5:F5"/>
    <mergeCell ref="G5:H5"/>
    <mergeCell ref="A1:H1"/>
    <mergeCell ref="A2:H2"/>
    <mergeCell ref="A4:B4"/>
    <mergeCell ref="C4:D4"/>
    <mergeCell ref="E4:F4"/>
    <mergeCell ref="G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Transactions</vt:lpstr>
      <vt:lpstr>Budget vs Acutal</vt:lpstr>
      <vt:lpstr>Monthly Revenue</vt:lpstr>
      <vt:lpstr>Outstanding Balances</vt:lpstr>
      <vt:lpstr>Monthly Cash Position</vt:lpstr>
      <vt:lpstr>Revenue Forecast</vt:lpstr>
      <vt:lpstr>Unusual Transactions</vt:lpstr>
      <vt:lpstr>Product Profitability</vt:lpstr>
      <vt:lpstr>Quarterly Variance</vt:lpstr>
      <vt:lpstr>Financial Dashboard</vt:lpstr>
      <vt:lpstr>Payroll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Aditi Lundia</cp:lastModifiedBy>
  <dcterms:created xsi:type="dcterms:W3CDTF">2026-10-05T14:18:11Z</dcterms:created>
  <dcterms:modified xsi:type="dcterms:W3CDTF">2026-10-05T14:49:23Z</dcterms:modified>
</cp:coreProperties>
</file>